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ate1904="1"/>
  <mc:AlternateContent xmlns:mc="http://schemas.openxmlformats.org/markup-compatibility/2006">
    <mc:Choice Requires="x15">
      <x15ac:absPath xmlns:x15ac="http://schemas.microsoft.com/office/spreadsheetml/2010/11/ac" url="D:\Daten\WebSolutions\ControllerSpielwiese\download\"/>
    </mc:Choice>
  </mc:AlternateContent>
  <bookViews>
    <workbookView xWindow="0" yWindow="0" windowWidth="21600" windowHeight="9495" tabRatio="767" activeTab="1"/>
  </bookViews>
  <sheets>
    <sheet name="Vorgaben" sheetId="5" r:id="rId1"/>
    <sheet name="Jan" sheetId="8" r:id="rId2"/>
    <sheet name="Feb" sheetId="9" r:id="rId3"/>
    <sheet name="Anwendungshilfe" sheetId="10" r:id="rId4"/>
    <sheet name="Feiertagsberechnung" sheetId="11" r:id="rId5"/>
  </sheets>
  <definedNames>
    <definedName name="Drittens" localSheetId="4">#REF!</definedName>
    <definedName name="Drittens">Anwendungshilfe!$B$140</definedName>
    <definedName name="_xlnm.Print_Area" localSheetId="2">Feb!$B$1:$Y$44</definedName>
    <definedName name="_xlnm.Print_Area" localSheetId="1">Jan!$B$1:$Y$44</definedName>
    <definedName name="_xlnm.Print_Area" localSheetId="0">Vorgaben!$A$1:$K$39</definedName>
    <definedName name="_xlnm.Print_Titles" localSheetId="3">Anwendungshilfe!$2:$4</definedName>
    <definedName name="Erstens" localSheetId="4">#REF!</definedName>
    <definedName name="Erstens">Anwendungshilfe!$B$13</definedName>
    <definedName name="neun_h">0.375</definedName>
    <definedName name="sechs_h">0.25</definedName>
    <definedName name="Viertens" localSheetId="4">#REF!</definedName>
    <definedName name="Viertens">Anwendungshilfe!$B$186</definedName>
    <definedName name="Wochentag">Vorgaben!$M$8:$N$14</definedName>
    <definedName name="Zweitens" localSheetId="4">#REF!</definedName>
    <definedName name="Zweitens">Anwendungshilfe!$B$90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11" l="1"/>
  <c r="D6" i="11" l="1"/>
  <c r="F24" i="5"/>
  <c r="S13" i="9" l="1"/>
  <c r="X36" i="11" l="1"/>
  <c r="W36" i="11"/>
  <c r="V36" i="11"/>
  <c r="U36" i="11"/>
  <c r="T36" i="11"/>
  <c r="S36" i="11"/>
  <c r="R36" i="11"/>
  <c r="Q36" i="11"/>
  <c r="P36" i="11"/>
  <c r="O36" i="11"/>
  <c r="N36" i="11"/>
  <c r="M36" i="11"/>
  <c r="L36" i="11"/>
  <c r="K36" i="11"/>
  <c r="J36" i="11"/>
  <c r="I36" i="11"/>
  <c r="G34" i="11"/>
  <c r="Y33" i="11"/>
  <c r="Y32" i="11"/>
  <c r="Y31" i="11"/>
  <c r="Y30" i="11"/>
  <c r="Y29" i="11"/>
  <c r="Y28" i="11"/>
  <c r="Y27" i="11"/>
  <c r="Y26" i="11"/>
  <c r="Y25" i="11"/>
  <c r="Y24" i="11"/>
  <c r="Y23" i="11"/>
  <c r="Y22" i="11"/>
  <c r="Y21" i="11"/>
  <c r="Y20" i="11"/>
  <c r="Y19" i="11"/>
  <c r="Y18" i="11"/>
  <c r="Y17" i="11"/>
  <c r="Y16" i="11"/>
  <c r="F16" i="11"/>
  <c r="Y15" i="11"/>
  <c r="Y14" i="11"/>
  <c r="Y13" i="11"/>
  <c r="Y12" i="11"/>
  <c r="Y11" i="11"/>
  <c r="F10" i="11"/>
  <c r="F32" i="11" s="1"/>
  <c r="G9" i="11"/>
  <c r="G15" i="11" s="1"/>
  <c r="F20" i="11" l="1"/>
  <c r="F13" i="11"/>
  <c r="F15" i="11"/>
  <c r="H15" i="11" s="1"/>
  <c r="F17" i="11"/>
  <c r="F19" i="11"/>
  <c r="F21" i="11"/>
  <c r="F31" i="11"/>
  <c r="F33" i="11"/>
  <c r="G13" i="11"/>
  <c r="H13" i="11" s="1"/>
  <c r="G17" i="11"/>
  <c r="G19" i="11"/>
  <c r="G21" i="11"/>
  <c r="G23" i="11"/>
  <c r="H23" i="11" s="1"/>
  <c r="G25" i="11"/>
  <c r="H25" i="11" s="1"/>
  <c r="G27" i="11"/>
  <c r="G29" i="11"/>
  <c r="H29" i="11" s="1"/>
  <c r="G31" i="11"/>
  <c r="G33" i="11"/>
  <c r="H33" i="11" s="1"/>
  <c r="F18" i="11"/>
  <c r="F26" i="11"/>
  <c r="F30" i="11"/>
  <c r="G14" i="11"/>
  <c r="G18" i="11"/>
  <c r="G22" i="11"/>
  <c r="G26" i="11"/>
  <c r="G32" i="11"/>
  <c r="H32" i="11" s="1"/>
  <c r="G12" i="11"/>
  <c r="G16" i="11"/>
  <c r="H16" i="11" s="1"/>
  <c r="G20" i="11"/>
  <c r="G24" i="11"/>
  <c r="G28" i="11"/>
  <c r="G30" i="11"/>
  <c r="H30" i="11" s="1"/>
  <c r="G11" i="11"/>
  <c r="H18" i="11" l="1"/>
  <c r="F36" i="11"/>
  <c r="H31" i="11"/>
  <c r="H21" i="11"/>
  <c r="H19" i="11"/>
  <c r="H20" i="11"/>
  <c r="H26" i="11"/>
  <c r="H17" i="11"/>
  <c r="F27" i="11"/>
  <c r="H27" i="11" s="1"/>
  <c r="F25" i="11"/>
  <c r="F29" i="11"/>
  <c r="F23" i="11"/>
  <c r="F28" i="11"/>
  <c r="H28" i="11" s="1"/>
  <c r="F14" i="11"/>
  <c r="H14" i="11" s="1"/>
  <c r="F12" i="11"/>
  <c r="H12" i="11" s="1"/>
  <c r="F22" i="11"/>
  <c r="H22" i="11" s="1"/>
  <c r="F24" i="11"/>
  <c r="H24" i="11" s="1"/>
  <c r="F11" i="11"/>
  <c r="H11" i="11" s="1"/>
  <c r="F37" i="11" l="1"/>
  <c r="I6" i="5" s="1"/>
  <c r="B186" i="10"/>
  <c r="B140" i="10"/>
  <c r="B90" i="10"/>
  <c r="B13" i="10"/>
  <c r="V43" i="9" l="1"/>
  <c r="R43" i="9"/>
  <c r="Q43" i="9"/>
  <c r="M43" i="9"/>
  <c r="J43" i="9"/>
  <c r="G43" i="9"/>
  <c r="Q42" i="9"/>
  <c r="M42" i="9"/>
  <c r="J42" i="9"/>
  <c r="G42" i="9"/>
  <c r="R42" i="9" s="1"/>
  <c r="Q41" i="9"/>
  <c r="M41" i="9"/>
  <c r="J41" i="9"/>
  <c r="G41" i="9"/>
  <c r="R41" i="9" s="1"/>
  <c r="Q40" i="9"/>
  <c r="M40" i="9"/>
  <c r="J40" i="9"/>
  <c r="G40" i="9"/>
  <c r="R40" i="9" s="1"/>
  <c r="Q39" i="9"/>
  <c r="M39" i="9"/>
  <c r="J39" i="9"/>
  <c r="G39" i="9"/>
  <c r="R39" i="9" s="1"/>
  <c r="Q38" i="9"/>
  <c r="M38" i="9"/>
  <c r="J38" i="9"/>
  <c r="G38" i="9"/>
  <c r="R38" i="9" s="1"/>
  <c r="V37" i="9"/>
  <c r="R37" i="9"/>
  <c r="Q37" i="9"/>
  <c r="M37" i="9"/>
  <c r="J37" i="9"/>
  <c r="G37" i="9"/>
  <c r="V36" i="9"/>
  <c r="R36" i="9"/>
  <c r="Q36" i="9"/>
  <c r="M36" i="9"/>
  <c r="J36" i="9"/>
  <c r="G36" i="9"/>
  <c r="Q35" i="9"/>
  <c r="M35" i="9"/>
  <c r="J35" i="9"/>
  <c r="G35" i="9"/>
  <c r="R35" i="9" s="1"/>
  <c r="Q34" i="9"/>
  <c r="M34" i="9"/>
  <c r="J34" i="9"/>
  <c r="G34" i="9"/>
  <c r="R34" i="9" s="1"/>
  <c r="Q33" i="9"/>
  <c r="M33" i="9"/>
  <c r="J33" i="9"/>
  <c r="G33" i="9"/>
  <c r="R33" i="9" s="1"/>
  <c r="R32" i="9"/>
  <c r="Q32" i="9"/>
  <c r="M32" i="9"/>
  <c r="J32" i="9"/>
  <c r="G32" i="9"/>
  <c r="Q31" i="9"/>
  <c r="M31" i="9"/>
  <c r="J31" i="9"/>
  <c r="G31" i="9"/>
  <c r="R31" i="9" s="1"/>
  <c r="V30" i="9"/>
  <c r="R30" i="9"/>
  <c r="Q30" i="9"/>
  <c r="M30" i="9"/>
  <c r="J30" i="9"/>
  <c r="G30" i="9"/>
  <c r="V29" i="9"/>
  <c r="R29" i="9"/>
  <c r="Q29" i="9"/>
  <c r="M29" i="9"/>
  <c r="J29" i="9"/>
  <c r="G29" i="9"/>
  <c r="Q28" i="9"/>
  <c r="M28" i="9"/>
  <c r="J28" i="9"/>
  <c r="G28" i="9"/>
  <c r="R28" i="9" s="1"/>
  <c r="Q27" i="9"/>
  <c r="M27" i="9"/>
  <c r="J27" i="9"/>
  <c r="G27" i="9"/>
  <c r="R27" i="9" s="1"/>
  <c r="V26" i="9"/>
  <c r="R26" i="9"/>
  <c r="Q26" i="9"/>
  <c r="M26" i="9"/>
  <c r="J26" i="9"/>
  <c r="G26" i="9"/>
  <c r="Q25" i="9"/>
  <c r="M25" i="9"/>
  <c r="J25" i="9"/>
  <c r="G25" i="9"/>
  <c r="R25" i="9" s="1"/>
  <c r="Q24" i="9"/>
  <c r="M24" i="9"/>
  <c r="J24" i="9"/>
  <c r="G24" i="9"/>
  <c r="R24" i="9" s="1"/>
  <c r="V23" i="9"/>
  <c r="R23" i="9"/>
  <c r="Q23" i="9"/>
  <c r="M23" i="9"/>
  <c r="J23" i="9"/>
  <c r="G23" i="9"/>
  <c r="Q22" i="9"/>
  <c r="M22" i="9"/>
  <c r="J22" i="9"/>
  <c r="G22" i="9"/>
  <c r="R22" i="9" s="1"/>
  <c r="Q21" i="9"/>
  <c r="M21" i="9"/>
  <c r="J21" i="9"/>
  <c r="G21" i="9"/>
  <c r="R21" i="9" s="1"/>
  <c r="Q20" i="9"/>
  <c r="M20" i="9"/>
  <c r="J20" i="9"/>
  <c r="G20" i="9"/>
  <c r="R20" i="9" s="1"/>
  <c r="Q19" i="9"/>
  <c r="M19" i="9"/>
  <c r="J19" i="9"/>
  <c r="G19" i="9"/>
  <c r="R19" i="9" s="1"/>
  <c r="Q18" i="9"/>
  <c r="M18" i="9"/>
  <c r="J18" i="9"/>
  <c r="G18" i="9"/>
  <c r="Q17" i="9"/>
  <c r="M17" i="9"/>
  <c r="J17" i="9"/>
  <c r="G17" i="9"/>
  <c r="Q16" i="9"/>
  <c r="R16" i="9" s="1"/>
  <c r="V16" i="9" s="1"/>
  <c r="M16" i="9"/>
  <c r="J16" i="9"/>
  <c r="G16" i="9"/>
  <c r="Q15" i="9"/>
  <c r="R15" i="9" s="1"/>
  <c r="V15" i="9" s="1"/>
  <c r="M15" i="9"/>
  <c r="J15" i="9"/>
  <c r="G15" i="9"/>
  <c r="Q14" i="9"/>
  <c r="M14" i="9"/>
  <c r="J14" i="9"/>
  <c r="G14" i="9"/>
  <c r="Q13" i="9"/>
  <c r="M13" i="9"/>
  <c r="J13" i="9"/>
  <c r="G13" i="9"/>
  <c r="W9" i="9"/>
  <c r="W8" i="9"/>
  <c r="D9" i="9"/>
  <c r="C9" i="9"/>
  <c r="W7" i="9"/>
  <c r="D8" i="9"/>
  <c r="W6" i="9"/>
  <c r="D7" i="9"/>
  <c r="W5" i="9"/>
  <c r="D6" i="9"/>
  <c r="H3" i="9"/>
  <c r="C13" i="9" s="1"/>
  <c r="R14" i="9" l="1"/>
  <c r="S14" i="9" s="1"/>
  <c r="S15" i="9" s="1"/>
  <c r="S16" i="9" s="1"/>
  <c r="D13" i="9"/>
  <c r="C14" i="9"/>
  <c r="C9" i="8"/>
  <c r="D9" i="8"/>
  <c r="B13" i="9" l="1"/>
  <c r="T13" i="9"/>
  <c r="D14" i="9"/>
  <c r="C15" i="9"/>
  <c r="L6" i="8"/>
  <c r="B14" i="9" l="1"/>
  <c r="T14" i="9"/>
  <c r="D15" i="9"/>
  <c r="C16" i="9"/>
  <c r="U13" i="9"/>
  <c r="R13" i="9"/>
  <c r="R43" i="8"/>
  <c r="R37" i="8"/>
  <c r="R36" i="8"/>
  <c r="R32" i="8"/>
  <c r="R30" i="8"/>
  <c r="R29" i="8"/>
  <c r="R26" i="8"/>
  <c r="R23" i="8"/>
  <c r="R16" i="8"/>
  <c r="R15" i="8"/>
  <c r="V43" i="8"/>
  <c r="V37" i="8"/>
  <c r="V36" i="8"/>
  <c r="V30" i="8"/>
  <c r="V29" i="8"/>
  <c r="V26" i="8"/>
  <c r="V23" i="8"/>
  <c r="V16" i="8"/>
  <c r="V15" i="8"/>
  <c r="D16" i="9" l="1"/>
  <c r="C17" i="9"/>
  <c r="U14" i="9"/>
  <c r="V14" i="9"/>
  <c r="V13" i="9"/>
  <c r="B15" i="9"/>
  <c r="T15" i="9"/>
  <c r="H3" i="8"/>
  <c r="C13" i="8" s="1"/>
  <c r="Q43" i="8"/>
  <c r="M43" i="8"/>
  <c r="J43" i="8"/>
  <c r="G43" i="8"/>
  <c r="Q42" i="8"/>
  <c r="M42" i="8"/>
  <c r="J42" i="8"/>
  <c r="G42" i="8"/>
  <c r="Q41" i="8"/>
  <c r="M41" i="8"/>
  <c r="J41" i="8"/>
  <c r="G41" i="8"/>
  <c r="Q40" i="8"/>
  <c r="M40" i="8"/>
  <c r="J40" i="8"/>
  <c r="G40" i="8"/>
  <c r="Q39" i="8"/>
  <c r="M39" i="8"/>
  <c r="J39" i="8"/>
  <c r="G39" i="8"/>
  <c r="R39" i="8" s="1"/>
  <c r="Q38" i="8"/>
  <c r="M38" i="8"/>
  <c r="J38" i="8"/>
  <c r="G38" i="8"/>
  <c r="Q37" i="8"/>
  <c r="M37" i="8"/>
  <c r="J37" i="8"/>
  <c r="G37" i="8"/>
  <c r="Q36" i="8"/>
  <c r="M36" i="8"/>
  <c r="J36" i="8"/>
  <c r="G36" i="8"/>
  <c r="Q35" i="8"/>
  <c r="R35" i="8" s="1"/>
  <c r="M35" i="8"/>
  <c r="J35" i="8"/>
  <c r="G35" i="8"/>
  <c r="Q34" i="8"/>
  <c r="M34" i="8"/>
  <c r="J34" i="8"/>
  <c r="G34" i="8"/>
  <c r="R34" i="8" s="1"/>
  <c r="Q33" i="8"/>
  <c r="R33" i="8" s="1"/>
  <c r="M33" i="8"/>
  <c r="J33" i="8"/>
  <c r="G33" i="8"/>
  <c r="Q32" i="8"/>
  <c r="M32" i="8"/>
  <c r="J32" i="8"/>
  <c r="G32" i="8"/>
  <c r="Q31" i="8"/>
  <c r="R31" i="8" s="1"/>
  <c r="M31" i="8"/>
  <c r="J31" i="8"/>
  <c r="G31" i="8"/>
  <c r="Q30" i="8"/>
  <c r="M30" i="8"/>
  <c r="J30" i="8"/>
  <c r="G30" i="8"/>
  <c r="Q29" i="8"/>
  <c r="M29" i="8"/>
  <c r="J29" i="8"/>
  <c r="G29" i="8"/>
  <c r="Q28" i="8"/>
  <c r="M28" i="8"/>
  <c r="J28" i="8"/>
  <c r="G28" i="8"/>
  <c r="Q27" i="8"/>
  <c r="R27" i="8" s="1"/>
  <c r="M27" i="8"/>
  <c r="J27" i="8"/>
  <c r="G27" i="8"/>
  <c r="Q26" i="8"/>
  <c r="M26" i="8"/>
  <c r="J26" i="8"/>
  <c r="G26" i="8"/>
  <c r="Q25" i="8"/>
  <c r="R25" i="8" s="1"/>
  <c r="M25" i="8"/>
  <c r="J25" i="8"/>
  <c r="G25" i="8"/>
  <c r="Q24" i="8"/>
  <c r="M24" i="8"/>
  <c r="J24" i="8"/>
  <c r="G24" i="8"/>
  <c r="R24" i="8" s="1"/>
  <c r="Q23" i="8"/>
  <c r="M23" i="8"/>
  <c r="J23" i="8"/>
  <c r="G23" i="8"/>
  <c r="Q22" i="8"/>
  <c r="M22" i="8"/>
  <c r="J22" i="8"/>
  <c r="G22" i="8"/>
  <c r="Q21" i="8"/>
  <c r="M21" i="8"/>
  <c r="J21" i="8"/>
  <c r="G21" i="8"/>
  <c r="Q20" i="8"/>
  <c r="M20" i="8"/>
  <c r="J20" i="8"/>
  <c r="G20" i="8"/>
  <c r="R20" i="8" s="1"/>
  <c r="Q19" i="8"/>
  <c r="M19" i="8"/>
  <c r="J19" i="8"/>
  <c r="G19" i="8"/>
  <c r="Q18" i="8"/>
  <c r="M18" i="8"/>
  <c r="J18" i="8"/>
  <c r="G18" i="8"/>
  <c r="Q17" i="8"/>
  <c r="R17" i="8" s="1"/>
  <c r="M17" i="8"/>
  <c r="J17" i="8"/>
  <c r="G17" i="8"/>
  <c r="Q16" i="8"/>
  <c r="M16" i="8"/>
  <c r="J16" i="8"/>
  <c r="G16" i="8"/>
  <c r="Q15" i="8"/>
  <c r="M15" i="8"/>
  <c r="J15" i="8"/>
  <c r="G15" i="8"/>
  <c r="Q14" i="8"/>
  <c r="M14" i="8"/>
  <c r="J14" i="8"/>
  <c r="G14" i="8"/>
  <c r="R14" i="8" s="1"/>
  <c r="Q13" i="8"/>
  <c r="M13" i="8"/>
  <c r="J13" i="8"/>
  <c r="G13" i="8"/>
  <c r="W9" i="8"/>
  <c r="D8" i="8"/>
  <c r="W8" i="8"/>
  <c r="D7" i="8"/>
  <c r="W7" i="8"/>
  <c r="D6" i="8"/>
  <c r="W6" i="8"/>
  <c r="W5" i="8"/>
  <c r="S7" i="9" s="1"/>
  <c r="R21" i="8" l="1"/>
  <c r="R19" i="8"/>
  <c r="R41" i="8"/>
  <c r="U15" i="9"/>
  <c r="W13" i="9"/>
  <c r="W14" i="9" s="1"/>
  <c r="W15" i="9" s="1"/>
  <c r="W16" i="9" s="1"/>
  <c r="D17" i="9"/>
  <c r="C18" i="9"/>
  <c r="R42" i="8"/>
  <c r="B16" i="9"/>
  <c r="T16" i="9"/>
  <c r="R22" i="8"/>
  <c r="R28" i="8"/>
  <c r="R38" i="8"/>
  <c r="S7" i="8"/>
  <c r="R40" i="8"/>
  <c r="D13" i="8"/>
  <c r="C14" i="8"/>
  <c r="U16" i="9" l="1"/>
  <c r="B17" i="9"/>
  <c r="T17" i="9"/>
  <c r="R17" i="9" s="1"/>
  <c r="S17" i="9" s="1"/>
  <c r="D18" i="9"/>
  <c r="C19" i="9"/>
  <c r="T13" i="8"/>
  <c r="R13" i="8" s="1"/>
  <c r="B13" i="8"/>
  <c r="D14" i="8"/>
  <c r="C15" i="8"/>
  <c r="S13" i="8" l="1"/>
  <c r="S14" i="8" s="1"/>
  <c r="S15" i="8" s="1"/>
  <c r="S16" i="8" s="1"/>
  <c r="S17" i="8" s="1"/>
  <c r="V13" i="8"/>
  <c r="B18" i="9"/>
  <c r="T18" i="9"/>
  <c r="D19" i="9"/>
  <c r="C20" i="9"/>
  <c r="U17" i="9"/>
  <c r="V17" i="9"/>
  <c r="U13" i="8"/>
  <c r="C16" i="8"/>
  <c r="D15" i="8"/>
  <c r="T14" i="8"/>
  <c r="V14" i="8" s="1"/>
  <c r="B14" i="8"/>
  <c r="W17" i="9" l="1"/>
  <c r="D20" i="9"/>
  <c r="C21" i="9"/>
  <c r="U18" i="9"/>
  <c r="R18" i="9"/>
  <c r="B19" i="9"/>
  <c r="T19" i="9"/>
  <c r="U14" i="8"/>
  <c r="B15" i="8"/>
  <c r="T15" i="8"/>
  <c r="D16" i="8"/>
  <c r="C17" i="8"/>
  <c r="W13" i="8"/>
  <c r="B20" i="9" l="1"/>
  <c r="T20" i="9"/>
  <c r="U19" i="9"/>
  <c r="V19" i="9"/>
  <c r="S18" i="9"/>
  <c r="S19" i="9" s="1"/>
  <c r="S20" i="9" s="1"/>
  <c r="S21" i="9" s="1"/>
  <c r="S22" i="9" s="1"/>
  <c r="S23" i="9" s="1"/>
  <c r="S24" i="9" s="1"/>
  <c r="S25" i="9" s="1"/>
  <c r="S26" i="9" s="1"/>
  <c r="S27" i="9" s="1"/>
  <c r="S28" i="9" s="1"/>
  <c r="S29" i="9" s="1"/>
  <c r="S30" i="9" s="1"/>
  <c r="S31" i="9" s="1"/>
  <c r="S32" i="9" s="1"/>
  <c r="S33" i="9" s="1"/>
  <c r="S34" i="9" s="1"/>
  <c r="S35" i="9" s="1"/>
  <c r="S36" i="9" s="1"/>
  <c r="S37" i="9" s="1"/>
  <c r="S38" i="9" s="1"/>
  <c r="S39" i="9" s="1"/>
  <c r="S40" i="9" s="1"/>
  <c r="S41" i="9" s="1"/>
  <c r="S42" i="9" s="1"/>
  <c r="S43" i="9" s="1"/>
  <c r="V18" i="9"/>
  <c r="R44" i="9"/>
  <c r="I7" i="9" s="1"/>
  <c r="D26" i="5" s="1"/>
  <c r="D21" i="9"/>
  <c r="C22" i="9"/>
  <c r="W14" i="8"/>
  <c r="D17" i="8"/>
  <c r="C18" i="8"/>
  <c r="T16" i="8"/>
  <c r="B16" i="8"/>
  <c r="U15" i="8"/>
  <c r="I26" i="5" l="1"/>
  <c r="H26" i="5"/>
  <c r="G26" i="5"/>
  <c r="D22" i="9"/>
  <c r="C23" i="9"/>
  <c r="B21" i="9"/>
  <c r="T21" i="9"/>
  <c r="W18" i="9"/>
  <c r="W19" i="9" s="1"/>
  <c r="U20" i="9"/>
  <c r="V20" i="9"/>
  <c r="B17" i="8"/>
  <c r="T17" i="8"/>
  <c r="V17" i="8" s="1"/>
  <c r="W15" i="8"/>
  <c r="U16" i="8"/>
  <c r="D18" i="8"/>
  <c r="C19" i="8"/>
  <c r="W20" i="9" l="1"/>
  <c r="D23" i="9"/>
  <c r="C24" i="9"/>
  <c r="U21" i="9"/>
  <c r="V21" i="9"/>
  <c r="B22" i="9"/>
  <c r="T22" i="9"/>
  <c r="W16" i="8"/>
  <c r="T18" i="8"/>
  <c r="B18" i="8"/>
  <c r="U17" i="8"/>
  <c r="C20" i="8"/>
  <c r="D19" i="8"/>
  <c r="W21" i="9" l="1"/>
  <c r="B23" i="9"/>
  <c r="T23" i="9"/>
  <c r="U22" i="9"/>
  <c r="V22" i="9"/>
  <c r="D24" i="9"/>
  <c r="C25" i="9"/>
  <c r="R18" i="8"/>
  <c r="V18" i="8" s="1"/>
  <c r="W17" i="8"/>
  <c r="D20" i="8"/>
  <c r="C21" i="8"/>
  <c r="U18" i="8"/>
  <c r="B19" i="8"/>
  <c r="T19" i="8"/>
  <c r="V19" i="8" s="1"/>
  <c r="U23" i="9" l="1"/>
  <c r="W22" i="9"/>
  <c r="W23" i="9" s="1"/>
  <c r="B24" i="9"/>
  <c r="T24" i="9"/>
  <c r="D25" i="9"/>
  <c r="C26" i="9"/>
  <c r="S18" i="8"/>
  <c r="S19" i="8" s="1"/>
  <c r="S20" i="8" s="1"/>
  <c r="S21" i="8" s="1"/>
  <c r="S22" i="8" s="1"/>
  <c r="S23" i="8" s="1"/>
  <c r="S24" i="8" s="1"/>
  <c r="S25" i="8" s="1"/>
  <c r="S26" i="8" s="1"/>
  <c r="S27" i="8" s="1"/>
  <c r="S28" i="8" s="1"/>
  <c r="S29" i="8" s="1"/>
  <c r="S30" i="8" s="1"/>
  <c r="S31" i="8" s="1"/>
  <c r="S32" i="8" s="1"/>
  <c r="S33" i="8" s="1"/>
  <c r="S34" i="8" s="1"/>
  <c r="U19" i="8"/>
  <c r="W18" i="8"/>
  <c r="D21" i="8"/>
  <c r="C22" i="8"/>
  <c r="T20" i="8"/>
  <c r="V20" i="8" s="1"/>
  <c r="B20" i="8"/>
  <c r="D26" i="9" l="1"/>
  <c r="C27" i="9"/>
  <c r="U24" i="9"/>
  <c r="V24" i="9"/>
  <c r="W24" i="9" s="1"/>
  <c r="B25" i="9"/>
  <c r="T25" i="9"/>
  <c r="W19" i="8"/>
  <c r="U20" i="8"/>
  <c r="D22" i="8"/>
  <c r="C23" i="8"/>
  <c r="T21" i="8"/>
  <c r="V21" i="8" s="1"/>
  <c r="B21" i="8"/>
  <c r="U25" i="9" l="1"/>
  <c r="V25" i="9"/>
  <c r="W25" i="9" s="1"/>
  <c r="W26" i="9" s="1"/>
  <c r="D27" i="9"/>
  <c r="C28" i="9"/>
  <c r="B26" i="9"/>
  <c r="T26" i="9"/>
  <c r="U26" i="9" s="1"/>
  <c r="W20" i="8"/>
  <c r="W21" i="8" s="1"/>
  <c r="U21" i="8"/>
  <c r="C24" i="8"/>
  <c r="D23" i="8"/>
  <c r="T22" i="8"/>
  <c r="V22" i="8" s="1"/>
  <c r="B22" i="8"/>
  <c r="D28" i="9" l="1"/>
  <c r="C29" i="9"/>
  <c r="T27" i="9"/>
  <c r="B27" i="9"/>
  <c r="B23" i="8"/>
  <c r="T23" i="8"/>
  <c r="D24" i="8"/>
  <c r="C25" i="8"/>
  <c r="U22" i="8"/>
  <c r="D29" i="9" l="1"/>
  <c r="C30" i="9"/>
  <c r="U27" i="9"/>
  <c r="V27" i="9"/>
  <c r="W27" i="9" s="1"/>
  <c r="B28" i="9"/>
  <c r="T28" i="9"/>
  <c r="W22" i="8"/>
  <c r="D25" i="8"/>
  <c r="C26" i="8"/>
  <c r="T24" i="8"/>
  <c r="V24" i="8" s="1"/>
  <c r="B24" i="8"/>
  <c r="U23" i="8"/>
  <c r="U28" i="9" l="1"/>
  <c r="V28" i="9"/>
  <c r="W28" i="9" s="1"/>
  <c r="W29" i="9" s="1"/>
  <c r="W30" i="9" s="1"/>
  <c r="D30" i="9"/>
  <c r="C31" i="9"/>
  <c r="B29" i="9"/>
  <c r="T29" i="9"/>
  <c r="W23" i="8"/>
  <c r="U24" i="8"/>
  <c r="D26" i="8"/>
  <c r="C27" i="8"/>
  <c r="B25" i="8"/>
  <c r="T25" i="8"/>
  <c r="V25" i="8" s="1"/>
  <c r="U29" i="9" l="1"/>
  <c r="D31" i="9"/>
  <c r="C32" i="9"/>
  <c r="B30" i="9"/>
  <c r="T30" i="9"/>
  <c r="W24" i="8"/>
  <c r="U25" i="8"/>
  <c r="C28" i="8"/>
  <c r="D27" i="8"/>
  <c r="T26" i="8"/>
  <c r="B26" i="8"/>
  <c r="U30" i="9" l="1"/>
  <c r="D32" i="9"/>
  <c r="C33" i="9"/>
  <c r="B31" i="9"/>
  <c r="T31" i="9"/>
  <c r="W25" i="8"/>
  <c r="U26" i="8"/>
  <c r="B27" i="8"/>
  <c r="T27" i="8"/>
  <c r="V27" i="8" s="1"/>
  <c r="D28" i="8"/>
  <c r="C29" i="8"/>
  <c r="U31" i="9" l="1"/>
  <c r="V31" i="9"/>
  <c r="W31" i="9" s="1"/>
  <c r="D33" i="9"/>
  <c r="C34" i="9"/>
  <c r="B32" i="9"/>
  <c r="T32" i="9"/>
  <c r="W26" i="8"/>
  <c r="D29" i="8"/>
  <c r="C30" i="8"/>
  <c r="U27" i="8"/>
  <c r="T28" i="8"/>
  <c r="V28" i="8" s="1"/>
  <c r="B28" i="8"/>
  <c r="U32" i="9" l="1"/>
  <c r="V32" i="9"/>
  <c r="W32" i="9" s="1"/>
  <c r="D34" i="9"/>
  <c r="C35" i="9"/>
  <c r="B33" i="9"/>
  <c r="T33" i="9"/>
  <c r="W27" i="8"/>
  <c r="D30" i="8"/>
  <c r="C31" i="8"/>
  <c r="U28" i="8"/>
  <c r="B29" i="8"/>
  <c r="T29" i="8"/>
  <c r="U33" i="9" l="1"/>
  <c r="V33" i="9"/>
  <c r="W33" i="9" s="1"/>
  <c r="D35" i="9"/>
  <c r="C36" i="9"/>
  <c r="B34" i="9"/>
  <c r="T34" i="9"/>
  <c r="W28" i="8"/>
  <c r="C32" i="8"/>
  <c r="D31" i="8"/>
  <c r="U29" i="8"/>
  <c r="T30" i="8"/>
  <c r="B30" i="8"/>
  <c r="U34" i="9" l="1"/>
  <c r="V34" i="9"/>
  <c r="W34" i="9" s="1"/>
  <c r="D36" i="9"/>
  <c r="C37" i="9"/>
  <c r="B35" i="9"/>
  <c r="T35" i="9"/>
  <c r="W29" i="8"/>
  <c r="U30" i="8"/>
  <c r="B31" i="8"/>
  <c r="T31" i="8"/>
  <c r="V31" i="8" s="1"/>
  <c r="D32" i="8"/>
  <c r="C33" i="8"/>
  <c r="U35" i="9" l="1"/>
  <c r="V35" i="9"/>
  <c r="W35" i="9" s="1"/>
  <c r="W36" i="9" s="1"/>
  <c r="W37" i="9" s="1"/>
  <c r="D37" i="9"/>
  <c r="C38" i="9"/>
  <c r="B36" i="9"/>
  <c r="T36" i="9"/>
  <c r="W30" i="8"/>
  <c r="W31" i="8" s="1"/>
  <c r="D33" i="8"/>
  <c r="C34" i="8"/>
  <c r="T32" i="8"/>
  <c r="V32" i="8" s="1"/>
  <c r="B32" i="8"/>
  <c r="U31" i="8"/>
  <c r="U36" i="9" l="1"/>
  <c r="D38" i="9"/>
  <c r="C39" i="9"/>
  <c r="B37" i="9"/>
  <c r="T37" i="9"/>
  <c r="U32" i="8"/>
  <c r="W32" i="8"/>
  <c r="D34" i="8"/>
  <c r="C35" i="8"/>
  <c r="B33" i="8"/>
  <c r="T33" i="8"/>
  <c r="V33" i="8" s="1"/>
  <c r="U37" i="9" l="1"/>
  <c r="D39" i="9"/>
  <c r="C40" i="9"/>
  <c r="B38" i="9"/>
  <c r="T38" i="9"/>
  <c r="U33" i="8"/>
  <c r="W33" i="8"/>
  <c r="T34" i="8"/>
  <c r="V34" i="8" s="1"/>
  <c r="B34" i="8"/>
  <c r="C36" i="8"/>
  <c r="D35" i="8"/>
  <c r="U38" i="9" l="1"/>
  <c r="V38" i="9"/>
  <c r="W38" i="9" s="1"/>
  <c r="D40" i="9"/>
  <c r="C41" i="9"/>
  <c r="B39" i="9"/>
  <c r="T39" i="9"/>
  <c r="B35" i="8"/>
  <c r="T35" i="8"/>
  <c r="D36" i="8"/>
  <c r="C37" i="8"/>
  <c r="U34" i="8"/>
  <c r="W34" i="8"/>
  <c r="U39" i="9" l="1"/>
  <c r="V39" i="9"/>
  <c r="W39" i="9" s="1"/>
  <c r="D41" i="9"/>
  <c r="C42" i="9"/>
  <c r="B40" i="9"/>
  <c r="T40" i="9"/>
  <c r="D37" i="8"/>
  <c r="C38" i="8"/>
  <c r="V35" i="8"/>
  <c r="U35" i="8"/>
  <c r="T36" i="8"/>
  <c r="B36" i="8"/>
  <c r="B41" i="9" l="1"/>
  <c r="T41" i="9"/>
  <c r="U40" i="9"/>
  <c r="V40" i="9"/>
  <c r="W40" i="9" s="1"/>
  <c r="D42" i="9"/>
  <c r="C43" i="9"/>
  <c r="S35" i="8"/>
  <c r="S36" i="8" s="1"/>
  <c r="W35" i="8"/>
  <c r="D38" i="8"/>
  <c r="C39" i="8"/>
  <c r="U36" i="8"/>
  <c r="T37" i="8"/>
  <c r="B37" i="8"/>
  <c r="B42" i="9" l="1"/>
  <c r="T42" i="9"/>
  <c r="U41" i="9"/>
  <c r="V41" i="9"/>
  <c r="W41" i="9" s="1"/>
  <c r="D43" i="9"/>
  <c r="W36" i="8"/>
  <c r="C40" i="8"/>
  <c r="D39" i="8"/>
  <c r="T38" i="8"/>
  <c r="B38" i="8"/>
  <c r="U37" i="8"/>
  <c r="U42" i="9" l="1"/>
  <c r="V42" i="9"/>
  <c r="B43" i="9"/>
  <c r="T43" i="9"/>
  <c r="W37" i="8"/>
  <c r="S37" i="8"/>
  <c r="U38" i="8"/>
  <c r="V38" i="8"/>
  <c r="B39" i="8"/>
  <c r="T39" i="8"/>
  <c r="V39" i="8" s="1"/>
  <c r="D40" i="8"/>
  <c r="C41" i="8"/>
  <c r="U43" i="9" l="1"/>
  <c r="T44" i="9"/>
  <c r="I6" i="9" s="1"/>
  <c r="L7" i="9"/>
  <c r="V44" i="9"/>
  <c r="W42" i="9"/>
  <c r="W43" i="9" s="1"/>
  <c r="U39" i="8"/>
  <c r="S38" i="8"/>
  <c r="S39" i="8" s="1"/>
  <c r="S40" i="8" s="1"/>
  <c r="W38" i="8"/>
  <c r="T40" i="8"/>
  <c r="V40" i="8" s="1"/>
  <c r="B40" i="8"/>
  <c r="D41" i="8"/>
  <c r="C42" i="8"/>
  <c r="I8" i="9" l="1"/>
  <c r="E26" i="5"/>
  <c r="F26" i="5" s="1"/>
  <c r="U40" i="8"/>
  <c r="D42" i="8"/>
  <c r="C43" i="8"/>
  <c r="T41" i="8"/>
  <c r="V41" i="8" s="1"/>
  <c r="B41" i="8"/>
  <c r="W39" i="8"/>
  <c r="U41" i="8" l="1"/>
  <c r="D43" i="8"/>
  <c r="W40" i="8"/>
  <c r="T42" i="8"/>
  <c r="V42" i="8" s="1"/>
  <c r="L7" i="8" s="1"/>
  <c r="B42" i="8"/>
  <c r="U42" i="8" l="1"/>
  <c r="B43" i="8"/>
  <c r="T43" i="8"/>
  <c r="W41" i="8"/>
  <c r="S41" i="8"/>
  <c r="U43" i="8" l="1"/>
  <c r="T44" i="8"/>
  <c r="I6" i="8" s="1"/>
  <c r="W42" i="8"/>
  <c r="S42" i="8"/>
  <c r="S43" i="8" s="1"/>
  <c r="R44" i="8"/>
  <c r="I7" i="8" s="1"/>
  <c r="D25" i="5" s="1"/>
  <c r="I25" i="5" l="1"/>
  <c r="I37" i="5" s="1"/>
  <c r="H25" i="5"/>
  <c r="H37" i="5" s="1"/>
  <c r="G25" i="5"/>
  <c r="E25" i="5"/>
  <c r="F25" i="5" s="1"/>
  <c r="F37" i="5" s="1"/>
  <c r="I8" i="8"/>
  <c r="V44" i="8"/>
  <c r="W43" i="8"/>
  <c r="E37" i="5" l="1"/>
  <c r="D37" i="5"/>
  <c r="E11" i="5"/>
  <c r="S6" i="9" l="1"/>
  <c r="S8" i="9" s="1"/>
  <c r="S6" i="8"/>
  <c r="S8" i="8" s="1"/>
  <c r="G24" i="5"/>
  <c r="G37" i="5" s="1"/>
  <c r="J17" i="5"/>
  <c r="E18" i="5"/>
  <c r="L8" i="8" l="1"/>
  <c r="I3" i="8" l="1"/>
  <c r="L6" i="9"/>
  <c r="L8" i="9" s="1"/>
  <c r="I3" i="9" l="1"/>
</calcChain>
</file>

<file path=xl/comments1.xml><?xml version="1.0" encoding="utf-8"?>
<comments xmlns="http://schemas.openxmlformats.org/spreadsheetml/2006/main">
  <authors>
    <author>ControllerSpielwiese</author>
  </authors>
  <commentList>
    <comment ref="J4" authorId="0" shapeId="0">
      <text>
        <r>
          <rPr>
            <b/>
            <sz val="9"/>
            <color indexed="81"/>
            <rFont val="Segoe UI"/>
            <family val="2"/>
          </rPr>
          <t>ControllerSpielwiese:</t>
        </r>
        <r>
          <rPr>
            <sz val="9"/>
            <color indexed="81"/>
            <rFont val="Segoe UI"/>
            <family val="2"/>
          </rPr>
          <t xml:space="preserve">
In der Premiumversion sind Jahr und Bundesland mit einem ewigem Kalender verknüpft, damit Feiertage automatisch eingetragen werden können.</t>
        </r>
      </text>
    </comment>
  </commentList>
</comments>
</file>

<file path=xl/comments2.xml><?xml version="1.0" encoding="utf-8"?>
<comments xmlns="http://schemas.openxmlformats.org/spreadsheetml/2006/main">
  <authors>
    <author>ControllerSpielwiese</author>
  </authors>
  <commentList>
    <comment ref="I8" authorId="0" shapeId="0">
      <text>
        <r>
          <rPr>
            <b/>
            <sz val="9"/>
            <color indexed="81"/>
            <rFont val="Segoe UI"/>
            <family val="2"/>
          </rPr>
          <t>ControllerSpielwiese:</t>
        </r>
        <r>
          <rPr>
            <sz val="9"/>
            <color indexed="81"/>
            <rFont val="Segoe UI"/>
            <family val="2"/>
          </rPr>
          <t xml:space="preserve">
Dieser Saldo berücksichtigt sämtliche Soll-Std. des Monats unabhängig davon, welche Stunden noch im Ist zu leisten sind. Er wird also zum Monatsende abgebaut.</t>
        </r>
      </text>
    </comment>
    <comment ref="K8" authorId="0" shapeId="0">
      <text>
        <r>
          <rPr>
            <b/>
            <sz val="9"/>
            <color indexed="81"/>
            <rFont val="Segoe UI"/>
            <family val="2"/>
          </rPr>
          <t>ControllerSpielwiese:</t>
        </r>
        <r>
          <rPr>
            <sz val="9"/>
            <color indexed="81"/>
            <rFont val="Segoe UI"/>
            <family val="2"/>
          </rPr>
          <t xml:space="preserve">
Dieser Saldo berücksichtigt nur die Soll-Std. der bereits gearbeiteten/ eingegebenen Ist-Std.</t>
        </r>
      </text>
    </comment>
    <comment ref="V9" authorId="0" shapeId="0">
      <text>
        <r>
          <rPr>
            <b/>
            <sz val="9"/>
            <color indexed="81"/>
            <rFont val="Segoe UI"/>
            <family val="2"/>
          </rPr>
          <t>ControllerSpielwiese:</t>
        </r>
        <r>
          <rPr>
            <sz val="9"/>
            <color indexed="81"/>
            <rFont val="Segoe UI"/>
            <family val="2"/>
          </rPr>
          <t xml:space="preserve">
Sonst. Fehlzeiten unbezahlt. Soll-Zeit wird gerechnet ohne Ist-Zeit.</t>
        </r>
      </text>
    </comment>
    <comment ref="G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 ref="J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 ref="M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List>
</comments>
</file>

<file path=xl/comments3.xml><?xml version="1.0" encoding="utf-8"?>
<comments xmlns="http://schemas.openxmlformats.org/spreadsheetml/2006/main">
  <authors>
    <author>ControllerSpielwiese</author>
  </authors>
  <commentList>
    <comment ref="I8" authorId="0" shapeId="0">
      <text>
        <r>
          <rPr>
            <b/>
            <sz val="9"/>
            <color indexed="81"/>
            <rFont val="Segoe UI"/>
            <family val="2"/>
          </rPr>
          <t>ControllerSpielwiese:</t>
        </r>
        <r>
          <rPr>
            <sz val="9"/>
            <color indexed="81"/>
            <rFont val="Segoe UI"/>
            <family val="2"/>
          </rPr>
          <t xml:space="preserve">
Dieser Saldo berücksichtigt sämtliche Soll-Std. des Monats unabhängig davon, welche Stunden noch im Ist zu leisten sind. Er wird also zum Monatsende abgebaut.</t>
        </r>
      </text>
    </comment>
    <comment ref="K8" authorId="0" shapeId="0">
      <text>
        <r>
          <rPr>
            <b/>
            <sz val="9"/>
            <color indexed="81"/>
            <rFont val="Segoe UI"/>
            <family val="2"/>
          </rPr>
          <t>ControllerSpielwiese:</t>
        </r>
        <r>
          <rPr>
            <sz val="9"/>
            <color indexed="81"/>
            <rFont val="Segoe UI"/>
            <family val="2"/>
          </rPr>
          <t xml:space="preserve">
Dieser Saldo berücksichtigt nur die Soll-Std. der bereits gearbeiteten/ eingegebenen Ist-Std.</t>
        </r>
      </text>
    </comment>
    <comment ref="V9" authorId="0" shapeId="0">
      <text>
        <r>
          <rPr>
            <b/>
            <sz val="9"/>
            <color indexed="81"/>
            <rFont val="Segoe UI"/>
            <family val="2"/>
          </rPr>
          <t>ControllerSpielwiese:</t>
        </r>
        <r>
          <rPr>
            <sz val="9"/>
            <color indexed="81"/>
            <rFont val="Segoe UI"/>
            <family val="2"/>
          </rPr>
          <t xml:space="preserve">
Sonst. Fehlzeiten unbezahlt. Soll-Zeit wird gerechnet ohne Ist-Zeit.</t>
        </r>
      </text>
    </comment>
    <comment ref="G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 ref="J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 ref="M11" authorId="0" shapeId="0">
      <text>
        <r>
          <rPr>
            <b/>
            <sz val="9"/>
            <color indexed="81"/>
            <rFont val="Segoe UI"/>
            <family val="2"/>
          </rPr>
          <t>ControllerSpielwiese:</t>
        </r>
        <r>
          <rPr>
            <sz val="9"/>
            <color indexed="81"/>
            <rFont val="Segoe UI"/>
            <family val="2"/>
          </rPr>
          <t xml:space="preserve">
Die hier berechnete Pause wird nicht für die Berechnung der arbeitsrechtlichen Pausen herangezogen; sie ist rein informativ.</t>
        </r>
      </text>
    </comment>
  </commentList>
</comments>
</file>

<file path=xl/comments4.xml><?xml version="1.0" encoding="utf-8"?>
<comments xmlns="http://schemas.openxmlformats.org/spreadsheetml/2006/main">
  <authors>
    <author>ControllerSpielwiese</author>
  </authors>
  <commentList>
    <comment ref="H9" authorId="0" shapeId="0">
      <text>
        <r>
          <rPr>
            <b/>
            <sz val="9"/>
            <color indexed="81"/>
            <rFont val="Segoe UI"/>
            <family val="2"/>
          </rPr>
          <t>ControllerSpielwiese:</t>
        </r>
        <r>
          <rPr>
            <sz val="9"/>
            <color indexed="81"/>
            <rFont val="Segoe UI"/>
            <family val="2"/>
          </rPr>
          <t xml:space="preserve">
Hilfsspalte für die Übergabe in den Kalender, Werte ausgeblendet</t>
        </r>
      </text>
    </comment>
    <comment ref="C13" authorId="0" shapeId="0">
      <text>
        <r>
          <rPr>
            <b/>
            <sz val="9"/>
            <color indexed="81"/>
            <rFont val="Segoe UI"/>
            <family val="2"/>
          </rPr>
          <t>ControllerSpielwiese:</t>
        </r>
        <r>
          <rPr>
            <sz val="9"/>
            <color indexed="81"/>
            <rFont val="Segoe UI"/>
            <family val="2"/>
          </rPr>
          <t xml:space="preserve">
Kein Feiertag</t>
        </r>
      </text>
    </comment>
    <comment ref="D16" authorId="0" shapeId="0">
      <text>
        <r>
          <rPr>
            <b/>
            <sz val="9"/>
            <color indexed="81"/>
            <rFont val="Segoe UI"/>
            <family val="2"/>
          </rPr>
          <t>ControllerSpielwiese:</t>
        </r>
        <r>
          <rPr>
            <sz val="9"/>
            <color indexed="81"/>
            <rFont val="Segoe UI"/>
            <family val="2"/>
          </rPr>
          <t xml:space="preserve">
Joahann Carl Friedrich Gauß hat vor mehr als zweihundert Jahren die Osterregel in eine Reihe mathematisch sehr einfacher Gleichungen gefasst, derer wir uns hier bedienen.</t>
        </r>
      </text>
    </comment>
    <comment ref="C30" authorId="0" shapeId="0">
      <text>
        <r>
          <rPr>
            <b/>
            <sz val="9"/>
            <color indexed="81"/>
            <rFont val="Segoe UI"/>
            <family val="2"/>
          </rPr>
          <t>ControllerSpielwiese:</t>
        </r>
        <r>
          <rPr>
            <sz val="9"/>
            <color indexed="81"/>
            <rFont val="Segoe UI"/>
            <family val="2"/>
          </rPr>
          <t xml:space="preserve">
Kein Feiertag</t>
        </r>
      </text>
    </comment>
    <comment ref="C33" authorId="0" shapeId="0">
      <text>
        <r>
          <rPr>
            <b/>
            <sz val="9"/>
            <color indexed="81"/>
            <rFont val="Segoe UI"/>
            <family val="2"/>
          </rPr>
          <t>ControllerSpielwiese:</t>
        </r>
        <r>
          <rPr>
            <sz val="9"/>
            <color indexed="81"/>
            <rFont val="Segoe UI"/>
            <family val="2"/>
          </rPr>
          <t xml:space="preserve">
kein offizieller Feiertag, aber in vielen Unternehmen frei bzw. für einen halben Urlaubstag zu haben</t>
        </r>
      </text>
    </comment>
  </commentList>
</comments>
</file>

<file path=xl/sharedStrings.xml><?xml version="1.0" encoding="utf-8"?>
<sst xmlns="http://schemas.openxmlformats.org/spreadsheetml/2006/main" count="594" uniqueCount="283">
  <si>
    <t>Montag</t>
  </si>
  <si>
    <t>Dienstag</t>
  </si>
  <si>
    <t>Mittwoch</t>
  </si>
  <si>
    <t>Donnerstag</t>
  </si>
  <si>
    <t>Freitag</t>
  </si>
  <si>
    <t>Samstag</t>
  </si>
  <si>
    <t>Sonntag</t>
  </si>
  <si>
    <t>Beginn</t>
  </si>
  <si>
    <t>Ende</t>
  </si>
  <si>
    <t>Pause 1</t>
  </si>
  <si>
    <t>Pause 2</t>
  </si>
  <si>
    <t>Soll</t>
  </si>
  <si>
    <t>Soll kum</t>
  </si>
  <si>
    <t>IST</t>
  </si>
  <si>
    <t>IST kum</t>
  </si>
  <si>
    <t>Wochentag</t>
  </si>
  <si>
    <t>Datenbank Wochentage</t>
  </si>
  <si>
    <t>Arbeitszeiterfassung</t>
  </si>
  <si>
    <t>Name:</t>
  </si>
  <si>
    <t>Abteilung:</t>
  </si>
  <si>
    <t>Datum</t>
  </si>
  <si>
    <t>Vorgabewerte</t>
  </si>
  <si>
    <t>Urlaub</t>
  </si>
  <si>
    <t>Bundesland:</t>
  </si>
  <si>
    <t>Pers.-Nr.:</t>
  </si>
  <si>
    <t>Feiertag</t>
  </si>
  <si>
    <t>Urlaubstage:</t>
  </si>
  <si>
    <t>Kranktage:</t>
  </si>
  <si>
    <t>Pause 3</t>
  </si>
  <si>
    <t>Fortbildung:</t>
  </si>
  <si>
    <t>Abwesenheit</t>
  </si>
  <si>
    <t>Bemerkung</t>
  </si>
  <si>
    <t>Urlaubsanspruch:</t>
  </si>
  <si>
    <t>Resturlaub Vorjahr:</t>
  </si>
  <si>
    <t>Ges. Urlaubsanspruch:</t>
  </si>
  <si>
    <t>(als Dezimalzahl eingeben)</t>
  </si>
  <si>
    <t>Soll-Wochenstunden:</t>
  </si>
  <si>
    <t>Krank</t>
  </si>
  <si>
    <t>Fortbildung</t>
  </si>
  <si>
    <t>Sonst. Fehlzeit</t>
  </si>
  <si>
    <t>Feiertage:</t>
  </si>
  <si>
    <t>Zeitguthaben/</t>
  </si>
  <si>
    <t>Überstunden aus Vorjahr:</t>
  </si>
  <si>
    <t>Jahr:</t>
  </si>
  <si>
    <t>Resturlaubsanspruch:</t>
  </si>
  <si>
    <t>Zeit in Dezimal umrechnen:</t>
  </si>
  <si>
    <t xml:space="preserve">=  </t>
  </si>
  <si>
    <t>Manuela Musterfrau</t>
  </si>
  <si>
    <t>Finanzbuchhaltung</t>
  </si>
  <si>
    <t>Wochenplanung h/Tag:</t>
  </si>
  <si>
    <t>Januar</t>
  </si>
  <si>
    <t>Sonstige Fehlzeit:</t>
  </si>
  <si>
    <t>Saldo Monatsende:</t>
  </si>
  <si>
    <t>Zusammenfassung Monate</t>
  </si>
  <si>
    <t>Februar</t>
  </si>
  <si>
    <t>März</t>
  </si>
  <si>
    <t>April</t>
  </si>
  <si>
    <t>Mai</t>
  </si>
  <si>
    <t>Juni</t>
  </si>
  <si>
    <t>Juli</t>
  </si>
  <si>
    <t>August</t>
  </si>
  <si>
    <t>September</t>
  </si>
  <si>
    <t>Oktober</t>
  </si>
  <si>
    <t>November</t>
  </si>
  <si>
    <t>Dezember</t>
  </si>
  <si>
    <t>Ist</t>
  </si>
  <si>
    <t>Diff.</t>
  </si>
  <si>
    <t>Saldo</t>
  </si>
  <si>
    <t>Saldo kum</t>
  </si>
  <si>
    <t>Übernahme</t>
  </si>
  <si>
    <t>Vormonat:</t>
  </si>
  <si>
    <t>akt. Monat:</t>
  </si>
  <si>
    <t>akt. Saldo:</t>
  </si>
  <si>
    <t>Salden:</t>
  </si>
  <si>
    <t>Urlaub:</t>
  </si>
  <si>
    <t>Soll Std. Monat:</t>
  </si>
  <si>
    <t>Ist-Std. Monat:</t>
  </si>
  <si>
    <t>Pausen</t>
  </si>
  <si>
    <t>im Jahr genommen:</t>
  </si>
  <si>
    <t>Gesamt inkl. Rest VJ:</t>
  </si>
  <si>
    <t>Gesamt/Vortrag</t>
  </si>
  <si>
    <t>frei:</t>
  </si>
  <si>
    <t>Baden-Württemberg</t>
  </si>
  <si>
    <t>Persönliche Daten:</t>
  </si>
  <si>
    <t>Inhaltsübersicht</t>
  </si>
  <si>
    <t>1.</t>
  </si>
  <si>
    <t>2.</t>
  </si>
  <si>
    <t>3.</t>
  </si>
  <si>
    <t>Kostenlose Version vers. Premiumversion</t>
  </si>
  <si>
    <t>4.</t>
  </si>
  <si>
    <r>
      <t xml:space="preserve">Das Tool besteht aktuell aus </t>
    </r>
    <r>
      <rPr>
        <sz val="12"/>
        <rFont val="Calibri"/>
        <family val="2"/>
        <scheme val="minor"/>
      </rPr>
      <t>den folgenden</t>
    </r>
    <r>
      <rPr>
        <sz val="12"/>
        <color theme="1"/>
        <rFont val="Calibri"/>
        <family val="2"/>
        <scheme val="minor"/>
      </rPr>
      <t xml:space="preserve"> Tabellenblättern und enthält keine Makros</t>
    </r>
  </si>
  <si>
    <t>Die einzelnen Tabellenblätter beinhalten:</t>
  </si>
  <si>
    <t>Wechsel zu Blatt …</t>
  </si>
  <si>
    <t>Dies sind u.a. folgende Funktionen in alphabetischer Reihenfolge:</t>
  </si>
  <si>
    <t>JAHR</t>
  </si>
  <si>
    <t>SUMME</t>
  </si>
  <si>
    <t>UND</t>
  </si>
  <si>
    <t>WENN</t>
  </si>
  <si>
    <t>WOCHENTAG</t>
  </si>
  <si>
    <t>Nehmen Sie Eingaben nur in den weißen Feldern vor, die hellgrün hinterlegten Felder berechnen sich automatisch</t>
  </si>
  <si>
    <t>Eine kommerzielle Nutzung sowie eine Weitergabe an Dritte ob entgeltlich oder unentgeltlich sind nicht gestattet</t>
  </si>
  <si>
    <t>Sollten Sie die Datei weiterentwickeln, würden wir und unsere Community uns über Ihr Update freuen…</t>
  </si>
  <si>
    <r>
      <t xml:space="preserve">Über einen </t>
    </r>
    <r>
      <rPr>
        <b/>
        <sz val="12"/>
        <rFont val="Calibri"/>
        <family val="2"/>
        <scheme val="minor"/>
      </rPr>
      <t>freiwilligen</t>
    </r>
    <r>
      <rPr>
        <sz val="12"/>
        <rFont val="Calibri"/>
        <family val="2"/>
        <scheme val="minor"/>
      </rPr>
      <t xml:space="preserve"> </t>
    </r>
    <r>
      <rPr>
        <b/>
        <sz val="12"/>
        <rFont val="Calibri"/>
        <family val="2"/>
      </rPr>
      <t>Obolus</t>
    </r>
    <r>
      <rPr>
        <sz val="12"/>
        <rFont val="Calibri"/>
        <family val="2"/>
        <scheme val="minor"/>
      </rPr>
      <t xml:space="preserve"> in Anerkennung unseres kostenfreien Angebotes freuen wir uns selbstverständlich auch:</t>
    </r>
  </si>
  <si>
    <r>
      <t xml:space="preserve">Auf </t>
    </r>
    <r>
      <rPr>
        <b/>
        <u/>
        <sz val="11"/>
        <rFont val="Calibri"/>
        <family val="2"/>
      </rPr>
      <t>https://ko-fi.com/controllerspielwiese</t>
    </r>
    <r>
      <rPr>
        <sz val="12"/>
        <rFont val="Calibri"/>
        <family val="2"/>
      </rPr>
      <t xml:space="preserve"> können Sie uns gerne einen Kaffee spendieren …</t>
    </r>
  </si>
  <si>
    <t xml:space="preserve">Wenn Ihnen unsere Dienste gefallen, können Sie kostenfrei Mitglied auf der CS werden: </t>
  </si>
  <si>
    <t>https://www.controllerspielwiese.de/inhalte/wir/formular-mitglied-werden.php</t>
  </si>
  <si>
    <t>Sie bekommen dann unseren ca. 6-8 mal im Jahr erscheinenden Newsletter zugeschickt - sonst nix :-)</t>
  </si>
  <si>
    <r>
      <t xml:space="preserve">In der </t>
    </r>
    <r>
      <rPr>
        <b/>
        <sz val="12"/>
        <rFont val="Calibri"/>
        <family val="2"/>
      </rPr>
      <t>Premiumversion</t>
    </r>
    <r>
      <rPr>
        <sz val="12"/>
        <rFont val="Calibri"/>
        <family val="2"/>
        <scheme val="minor"/>
      </rPr>
      <t xml:space="preserve"> sind alle Formeln und Funktionen frei zugänglich und veränderbar</t>
    </r>
  </si>
  <si>
    <t>Wir senden Ihnen die Premiumversion umgehend während unserer Bürozeiten per E-Mail zu</t>
  </si>
  <si>
    <t>Sie erhalten Ihre Rechnung inkl. MwSt. per E-Mail zusammen mit Ihrer Datei</t>
  </si>
  <si>
    <t>Für das Funktionieren des Tools in Ihrer Umgebung sowie evtl. Folgeschäden übernehmen wir keine Haftung</t>
  </si>
  <si>
    <t>Das Tool wird aus dem Feedback unserer Mitglieder weiterentwickelt, updates sind kostenfrei erhältlich</t>
  </si>
  <si>
    <t xml:space="preserve">oben </t>
  </si>
  <si>
    <t>Technische Informationen zur Anwendung für das Zeiterfassungs-Tool</t>
  </si>
  <si>
    <t>Kostenlose Version der Zeiterfassung</t>
  </si>
  <si>
    <t>Premiumversion der Zeiterfassung</t>
  </si>
  <si>
    <t>Die Anwendungshilfe enthält praktische Hinweise zum Erstellen/Ausfüllen Ihrer eigenen Zeiterfassung</t>
  </si>
  <si>
    <t>» Vorgaben</t>
  </si>
  <si>
    <t>» Monate Januar bis Dezember</t>
  </si>
  <si>
    <t>Vorgaben</t>
  </si>
  <si>
    <t>» Anwendungshilfe (dieses Tabellenblatt)</t>
  </si>
  <si>
    <t>Anwendungshilfe für die Arbeitszeiterfassung</t>
  </si>
  <si>
    <t>Betriebswirtschaftliche und gesetzliche Betrachtungen zur Arbeitszeiterfassung</t>
  </si>
  <si>
    <t>Dieses Tool dient zur Erfassung von Arbeitszeiten, der Erläuterung gesetzlicher Vorgaben sowie der Erklärung wesentlicher Excel-Funktionen</t>
  </si>
  <si>
    <t>Es werden einige Excel-Funktionen und -Tricks verwendet, welche in der Premiumversion teilweise in Kommentaren erläutert werden</t>
  </si>
  <si>
    <t>TEXT</t>
  </si>
  <si>
    <t>HEUTE</t>
  </si>
  <si>
    <t>ZÄHLENWENN</t>
  </si>
  <si>
    <t>SVERWEIS</t>
  </si>
  <si>
    <t>DATWERT</t>
  </si>
  <si>
    <t>sowie Namen, Listfelder, Bedingte Formatierung und Sprungmarken mit Hyperlinks auf Zellen und Namen</t>
  </si>
  <si>
    <t>ODER</t>
  </si>
  <si>
    <t>Tabellenblatt: Vorgaben</t>
  </si>
  <si>
    <t>In dem Tabellenblatt Vorgaben werden personenbezogene Daten erfasst und die Zusammenfassung der Zeiten für bis zu 12 Monate dargestellt</t>
  </si>
  <si>
    <t>Praktische Hinweise zum Ausfüllen des Zeiterfassungs-Tools</t>
  </si>
  <si>
    <t>Name, Abteilung und Personalnummer werden hier eingegeben und in die Erfassungsblätter übernommen</t>
  </si>
  <si>
    <t xml:space="preserve">Die Anzahl der Soll-Arbeitsstunden je Tag wird im Wochenplan für jeden Tag einzeln eingestellt und in die Erfassungsblätter übernommen </t>
  </si>
  <si>
    <t>Jan ... und folgende</t>
  </si>
  <si>
    <t>Tabellenblatt: Jan (bzw. alle weiteren Monate analog)</t>
  </si>
  <si>
    <t>Tabellenblatt: Feiertagsberechnung</t>
  </si>
  <si>
    <t>Die vorliegende, kostenlose Version der Zeiterfassung ist zur ausschließlichen privaten oder persönlichen Nutzung in Unternehmen gedacht</t>
  </si>
  <si>
    <t>Es besteht kein Passwortschutz und alle Felder, Formeln und Kommentare sind frei änder- und löschbar</t>
  </si>
  <si>
    <t>Wir gewähren jedoch einen freiwilligen technischen E-Mail-Support während unserer Bürozeiten</t>
  </si>
  <si>
    <t>» Feiertagsberechnung</t>
  </si>
  <si>
    <t>Gesetzliche Feiertage aller Bundesländer</t>
  </si>
  <si>
    <t>sowie einzelne, regional freie Tage</t>
  </si>
  <si>
    <t>Berechnung für Jahr:</t>
  </si>
  <si>
    <t>… für Bundesland:</t>
  </si>
  <si>
    <r>
      <t xml:space="preserve">Seit der Wiedervereinigung 1990 hat die Bundesrepublik Deutschland </t>
    </r>
    <r>
      <rPr>
        <b/>
        <sz val="11"/>
        <color theme="1"/>
        <rFont val="Calibri"/>
        <family val="2"/>
        <scheme val="minor"/>
      </rPr>
      <t>16</t>
    </r>
    <r>
      <rPr>
        <sz val="11"/>
        <color theme="1"/>
        <rFont val="Calibri"/>
        <family val="2"/>
        <scheme val="minor"/>
      </rPr>
      <t xml:space="preserve"> statt wie vorher elf Bundesländer.</t>
    </r>
  </si>
  <si>
    <t>Nr.</t>
  </si>
  <si>
    <t>Bezeichnung</t>
  </si>
  <si>
    <t>Tag oder Abhängigkeit</t>
  </si>
  <si>
    <t>beweglich/
unbeweglich</t>
  </si>
  <si>
    <t>Excel-Formel 
und Datum</t>
  </si>
  <si>
    <t>Bayern</t>
  </si>
  <si>
    <t>Berlin</t>
  </si>
  <si>
    <t>Brandenburg</t>
  </si>
  <si>
    <t>Bremen</t>
  </si>
  <si>
    <t>Hamburg</t>
  </si>
  <si>
    <t>Hessen</t>
  </si>
  <si>
    <t>Mecklenburg-
Vorpommern</t>
  </si>
  <si>
    <t>Niedersachsen</t>
  </si>
  <si>
    <t>Nordrhein-
Westfalen</t>
  </si>
  <si>
    <t>Rheinland-
Pfalz</t>
  </si>
  <si>
    <t>Saarland</t>
  </si>
  <si>
    <t>Sachsen</t>
  </si>
  <si>
    <t>Sachsen-
Anhalt</t>
  </si>
  <si>
    <t>Schleswig-
Holstein</t>
  </si>
  <si>
    <t>Thüringen</t>
  </si>
  <si>
    <t>Anzahl 
Länder</t>
  </si>
  <si>
    <t>Neujahr</t>
  </si>
  <si>
    <t>unbeweglich</t>
  </si>
  <si>
    <t>x</t>
  </si>
  <si>
    <t>Heilige Drei Könige</t>
  </si>
  <si>
    <t>Rosenmontag</t>
  </si>
  <si>
    <t>48 Tage vor Ostersonntag</t>
  </si>
  <si>
    <t>beweglich</t>
  </si>
  <si>
    <t>Internationaler Frauentag</t>
  </si>
  <si>
    <t>5.</t>
  </si>
  <si>
    <t>Karfreitag</t>
  </si>
  <si>
    <t>Freitag vor Ostersonntag</t>
  </si>
  <si>
    <t>6.</t>
  </si>
  <si>
    <t>Ostersonntag</t>
  </si>
  <si>
    <t>Johann Carl Friedrich Gauß</t>
  </si>
  <si>
    <t>7.</t>
  </si>
  <si>
    <t>Ostermontag</t>
  </si>
  <si>
    <t>Montag nach Ostersonntag</t>
  </si>
  <si>
    <t>8.</t>
  </si>
  <si>
    <t>Tag der Arbeit</t>
  </si>
  <si>
    <t>9.</t>
  </si>
  <si>
    <t>Christi Himmelfahrt</t>
  </si>
  <si>
    <t>39 Tage nach Ostersonntag</t>
  </si>
  <si>
    <t>10.</t>
  </si>
  <si>
    <t>Pfingstsonntag</t>
  </si>
  <si>
    <t>49 Tage nach Ostersonntag</t>
  </si>
  <si>
    <t>11.</t>
  </si>
  <si>
    <t>Pfingstmontag</t>
  </si>
  <si>
    <t>50 Tage nach Ostersonntag</t>
  </si>
  <si>
    <t>12.</t>
  </si>
  <si>
    <t>Fronleichnam</t>
  </si>
  <si>
    <t>60 Tage nach Ostersonntag</t>
  </si>
  <si>
    <t>13.</t>
  </si>
  <si>
    <t>Augsburger Friedensfest</t>
  </si>
  <si>
    <t>14.</t>
  </si>
  <si>
    <t>Mariä Himmelfahrt</t>
  </si>
  <si>
    <t>15.</t>
  </si>
  <si>
    <t>Weltkindertag</t>
  </si>
  <si>
    <t>16.</t>
  </si>
  <si>
    <t>Tag der Deutschen Einheit</t>
  </si>
  <si>
    <t>17.</t>
  </si>
  <si>
    <t>Reformationstag</t>
  </si>
  <si>
    <t>18.</t>
  </si>
  <si>
    <t>Allerheiligen</t>
  </si>
  <si>
    <t>19.</t>
  </si>
  <si>
    <t>Buß- und Bettag</t>
  </si>
  <si>
    <t>Mittwoch vor dem 23. November</t>
  </si>
  <si>
    <t>20.</t>
  </si>
  <si>
    <t>Heilig Abend</t>
  </si>
  <si>
    <t>21.</t>
  </si>
  <si>
    <t>1. Weihnachtsfeiertag</t>
  </si>
  <si>
    <t>22.</t>
  </si>
  <si>
    <t>2. Weihnachtsfeiertag</t>
  </si>
  <si>
    <t>23.</t>
  </si>
  <si>
    <t>Silvester</t>
  </si>
  <si>
    <t>Anzahl Feiertage im Bundelsland:</t>
  </si>
  <si>
    <t>Nettoarbeitstage ohne Wochenenden und ohne Feiertage:</t>
  </si>
  <si>
    <t>DATUM</t>
  </si>
  <si>
    <t>WVERWEIS</t>
  </si>
  <si>
    <t>REST</t>
  </si>
  <si>
    <t>KÜRZEN</t>
  </si>
  <si>
    <t>ANZAHL2</t>
  </si>
  <si>
    <t>Feiertagsberechnung</t>
  </si>
  <si>
    <t>In dem Tabellenblatt "Jan" werden die Vorgabedaten inklusive der Wochenplanung übernommen</t>
  </si>
  <si>
    <t>Abwesenheit bei Urlaub, Krank, Fortbildung oder Feiertag können über ein Auswahlfeld eingegeben werden</t>
  </si>
  <si>
    <t>Die Berechnung der beweglichen und unbeweglichen Feiertage erfolgt automatisch für die Bundesländer</t>
  </si>
  <si>
    <t>Die Berechnung der unbeweglichen Feiertage erfolgt anhand der "Oster-Regel" von Johann Carl Friedrich Gauß</t>
  </si>
  <si>
    <t>Die Nettoarbeitstage ohne Feiertag und ohne Wochenende werden für das gewählte Bundesland angezeigt</t>
  </si>
  <si>
    <t>Eine Bedingte Formatierung visualisiert die Rangfolge der Anzahl der Feiertage je Bundesland</t>
  </si>
  <si>
    <t>In dieses Tabellenblatt werden das in den Vorgaben gesetzte Kalenderjahr und Bundesland übernommen</t>
  </si>
  <si>
    <t>NETTOARBEITSTAGE.INTL</t>
  </si>
  <si>
    <t>Für diese Kriterien werden jeweils die Sollzeiten angerechnet</t>
  </si>
  <si>
    <t>In der kostenlosen Version sind einige Funktionen nicht vorhanden bzw. nicht vollumfänglich verfügbar - siehe Premium unten</t>
  </si>
  <si>
    <t>Die Datei enthält zusätzlich gesetzliche Informationen zur Arbeitszeiterfassung</t>
  </si>
  <si>
    <t>In jedem Monatsblatt können bis zu 4 Zeitblöcke verarbeitet werden</t>
  </si>
  <si>
    <t>In der Premiumversion sind 12 sich ergänzende Monatsblätter vorhanden, es kann somit ein komplettes Jahr erfasst werden</t>
  </si>
  <si>
    <t xml:space="preserve">Der Zeitsaldo, der Jahresurlaub, die Krankheitstage sowie Fortbildungstage werden über das gesamte Jahr aktuell dargestellt </t>
  </si>
  <si>
    <t>Das Jahr der Erfassung kann in der Premiumversion verändert, die Datei somit auch in Folgejahren genutzt werden</t>
  </si>
  <si>
    <t>In der Feiertagsberechnung liegen für das gewählte Bundesland alle Feiertage vor</t>
  </si>
  <si>
    <t>Eigene Erweiterungen insbesondere für Abwesenheitskriterien können vorgenommen werden (Excel-Kenntnisse notwendig)</t>
  </si>
  <si>
    <r>
      <t xml:space="preserve">Wenn Sie Interesse an der Premiumversion der Zeiterfassung haben, können Sie diese für EUR </t>
    </r>
    <r>
      <rPr>
        <b/>
        <sz val="12"/>
        <rFont val="Calibri"/>
        <family val="2"/>
        <scheme val="minor"/>
      </rPr>
      <t>17,85 inkl. MwSt</t>
    </r>
    <r>
      <rPr>
        <sz val="12"/>
        <rFont val="Calibri"/>
        <family val="2"/>
        <scheme val="minor"/>
      </rPr>
      <t xml:space="preserve"> erwerben:</t>
    </r>
  </si>
  <si>
    <t>zu den Kennzahlen …</t>
  </si>
  <si>
    <t>Abwesenheit Monat:</t>
  </si>
  <si>
    <t>In der Premiumversion ist auch eine zusätzliche Information wähl- und eingebbar, welche ebenfalls in alle Erfassungsblätter übernommen wird</t>
  </si>
  <si>
    <t xml:space="preserve">Das Kalenderjahr steuert die Tagesdaten in den einzelnen Erfassungsblättern; der Monat wird jedoch in den Monatsblättern eingegeben </t>
  </si>
  <si>
    <t>In der Premiumversion errechnet die Eingabe für das Bundesland eine Liste der aktuellen Feier- und Arbeitstage in dem entsprechenden Jahr</t>
  </si>
  <si>
    <t>Der jährliche Urlaubsanspruch und der Resturlaub können vorgegeben werden und rechnen durch die Erfassungsblätter</t>
  </si>
  <si>
    <t>Ein Zeitguthaben/Überstunden aus dem Vorjahr kann als Startsaldo in den ersten Monat übernommen werden</t>
  </si>
  <si>
    <t>Der Stundenwert ist dezimal einzugeben, eine Umrechnungszelle dient der leichteren Berechnung von Minuten in dezimal</t>
  </si>
  <si>
    <t>Die Zusammenfassung der Monatswerte wird automatisch berechnet und die Gesamtsalden ausgewiesen</t>
  </si>
  <si>
    <t>In der Premiumversion sind zur leichteren Bearbeitung die Zellen teilweise vor Eingaben geschützt, es besteht jedoch KEIN Passwortschutz</t>
  </si>
  <si>
    <t>Es besteht in der Premiumversion KEIN Passwortschutz, alle Zellen können bei Bedarf geändert werden</t>
  </si>
  <si>
    <t>Das Kalenderjahr wird automatisch übertragen, der Monat ist in Zelle F3 von Hand einzugeben</t>
  </si>
  <si>
    <t>Die Kalendertage des Monats werden anhand des Jahres und der Monatseingabe automatisch berechnet</t>
  </si>
  <si>
    <t>Die Bedingte Formatierung grenzt Arbeitstage von freien Tagen gemäß dem Wochenplan aus der Vorgabe farblich ab</t>
  </si>
  <si>
    <t>Die Sollzeiten werden automatisch anhand des Wochenplans für die jeweiligen Arbeitstage berechnet</t>
  </si>
  <si>
    <t>Sämtliche Daten im oberen Kopfberich werden automatisch berechnet</t>
  </si>
  <si>
    <t>Im Bereich der Kalendertage müssen nur die jeweiligen Anfangs- und Endzeiten eingegeben werden, Pausen werden automatisch berechnet</t>
  </si>
  <si>
    <t xml:space="preserve">Zu der Berechnung der Pausen siehe auch die untenstehenden gesetzlichen Betrachtungen zur Zeiterfassung </t>
  </si>
  <si>
    <t>Es können bis zu drei Zeitblöcke pro Tag eingegeben werden, in der Premiumversion sogar bis zu vier Blöcke</t>
  </si>
  <si>
    <t>Das Kriterium Sonst. Fehlzeit kann für unbezahlte Fehlzeiten genutzt werden, es wird hierfür keine Sollzeit gerechnet</t>
  </si>
  <si>
    <t>Nehmen Sie Eingaben nur in den Feldern Beginn, Ende, Abwesenheit und Bemerkung vor, alle anderen Felder berechnen sich automatisch</t>
  </si>
  <si>
    <t>Es besteht ein Blattschutz, der die Eingabe erleichtern soll und vor dem Überschreiben von Formeln schützt</t>
  </si>
  <si>
    <t>Es werden je Bundesland sämtliche gesetzlichen Feiertage aufaddiert, unabhängig vom Wochentag</t>
  </si>
  <si>
    <t>Alle Felder sind durch Zellschutz/Blattschutz gesperrt und nur in der Premiumversion ohne Passwort zugänglich</t>
  </si>
  <si>
    <t>In diesem Tabellenblatt sind KEINE Eintragungen vorgesehen</t>
  </si>
  <si>
    <t>Die Salden aller 12 Monatsblätter werden in einer Monatszusammenfassung dargestellt</t>
  </si>
  <si>
    <t>Gerne bieten wir eine kostenpflichtige Unterstützung bei gewünschten Erweiterungen oder Anpassungen an Ihre Systemumgebung.</t>
  </si>
  <si>
    <t>Für das Weitergeben an Mitarbeiter empfiehlt es sich ggfs. mit Blatt- und Passwortschutz zu arbeiten</t>
  </si>
  <si>
    <r>
      <t xml:space="preserve">Sie senden eine E-Mail an </t>
    </r>
    <r>
      <rPr>
        <b/>
        <u/>
        <sz val="11"/>
        <rFont val="Calibri"/>
        <family val="2"/>
        <scheme val="minor"/>
      </rPr>
      <t>Service@ControllerSpielwiese.de</t>
    </r>
    <r>
      <rPr>
        <sz val="11"/>
        <rFont val="Calibri"/>
        <family val="2"/>
        <scheme val="minor"/>
      </rPr>
      <t xml:space="preserve"> mit Ihrer Rechnungsadresse und dem </t>
    </r>
    <r>
      <rPr>
        <b/>
        <sz val="11"/>
        <rFont val="Calibri"/>
        <family val="2"/>
        <scheme val="minor"/>
      </rPr>
      <t>Stichwort "</t>
    </r>
    <r>
      <rPr>
        <sz val="11"/>
        <rFont val="Calibri"/>
        <family val="2"/>
        <scheme val="minor"/>
      </rPr>
      <t>Zeiterfassung für 17,85 kaufen"</t>
    </r>
  </si>
  <si>
    <t>Umfang der kostenlosen Version reicht? Datei ohne Passwortschutz erwerben!</t>
  </si>
  <si>
    <r>
      <t xml:space="preserve">Sie senden eine E-Mail an </t>
    </r>
    <r>
      <rPr>
        <b/>
        <u/>
        <sz val="11"/>
        <rFont val="Calibri"/>
        <family val="2"/>
        <scheme val="minor"/>
      </rPr>
      <t>Service@ControllerSpielwiese.de</t>
    </r>
    <r>
      <rPr>
        <sz val="11"/>
        <rFont val="Calibri"/>
        <family val="2"/>
        <scheme val="minor"/>
      </rPr>
      <t xml:space="preserve"> mit Ihrer Rechnungsadresse und dem </t>
    </r>
    <r>
      <rPr>
        <b/>
        <sz val="11"/>
        <rFont val="Calibri"/>
        <family val="2"/>
        <scheme val="minor"/>
      </rPr>
      <t>Stichwort</t>
    </r>
    <r>
      <rPr>
        <sz val="11"/>
        <rFont val="Calibri"/>
        <family val="2"/>
        <scheme val="minor"/>
      </rPr>
      <t xml:space="preserve"> "Zeiterfassung für 4,99 kaufen"</t>
    </r>
  </si>
  <si>
    <t>Wir senden Ihnen diese Version umgehend während unserer Bürozeiten per E-Mail zu</t>
  </si>
  <si>
    <r>
      <t xml:space="preserve">Wenn Sie Interesse an der einfachen Version des Tools ohne Passwortschutz haben, können Sie diese für EUR </t>
    </r>
    <r>
      <rPr>
        <b/>
        <sz val="12"/>
        <rFont val="Calibri"/>
        <family val="2"/>
        <scheme val="minor"/>
      </rPr>
      <t>4,99 inkl. MwSt</t>
    </r>
    <r>
      <rPr>
        <sz val="12"/>
        <rFont val="Calibri"/>
        <family val="2"/>
        <scheme val="minor"/>
      </rPr>
      <t xml:space="preserve"> erwerben: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</si>
</sst>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hh]:mm"/>
    <numFmt numFmtId="165" formatCode="ddd"/>
    <numFmt numFmtId="166" formatCode="0\ &quot;T&quot;"/>
    <numFmt numFmtId="167" formatCode="0\ &quot;T&quot;__"/>
    <numFmt numFmtId="168" formatCode="0.00\ &quot;h&quot;\ "/>
    <numFmt numFmtId="169" formatCode="[hh]:mm\ &quot;h&quot;"/>
    <numFmt numFmtId="170" formatCode="hh:mm\ &quot;h&quot;"/>
    <numFmt numFmtId="171" formatCode="[h]:mm\ &quot;h&quot;;@"/>
    <numFmt numFmtId="172" formatCode="[hh]:mm\ &quot;  &quot;"/>
    <numFmt numFmtId="173" formatCode="0.0000\ &quot;h&quot;\ "/>
    <numFmt numFmtId="174" formatCode="[hh]:mm\ &quot;h&quot;;[Red]\-[hh]:mm\ &quot;h&quot;;&quot;-&quot;\ &quot;h&quot;"/>
    <numFmt numFmtId="175" formatCode="[hh]:mm&quot;  &quot;;[Red]\-[hh]:mm&quot;  &quot;"/>
    <numFmt numFmtId="176" formatCode="#,##0.00\ &quot;€&quot;"/>
    <numFmt numFmtId="177" formatCode="dd/\ mmmm"/>
  </numFmts>
  <fonts count="46">
    <font>
      <sz val="11"/>
      <color theme="1"/>
      <name val="Calibri"/>
      <family val="2"/>
      <scheme val="minor"/>
    </font>
    <font>
      <b/>
      <sz val="11"/>
      <color theme="1"/>
      <name val="Calibri"/>
      <family val="2"/>
      <scheme val="minor"/>
    </font>
    <font>
      <sz val="11"/>
      <name val="Calibri"/>
      <family val="2"/>
      <scheme val="minor"/>
    </font>
    <font>
      <strike/>
      <sz val="11"/>
      <color theme="1"/>
      <name val="Calibri"/>
      <family val="2"/>
      <scheme val="minor"/>
    </font>
    <font>
      <sz val="10"/>
      <name val="MS Sans Serif"/>
    </font>
    <font>
      <b/>
      <sz val="8"/>
      <name val="Arial"/>
      <family val="2"/>
    </font>
    <font>
      <sz val="8"/>
      <name val="MS Sans Serif"/>
      <family val="2"/>
    </font>
    <font>
      <b/>
      <sz val="18"/>
      <color theme="1"/>
      <name val="Calibri"/>
      <family val="2"/>
      <scheme val="minor"/>
    </font>
    <font>
      <i/>
      <sz val="11"/>
      <color theme="9" tint="0.79998168889431442"/>
      <name val="Calibri"/>
      <family val="2"/>
      <scheme val="minor"/>
    </font>
    <font>
      <sz val="11"/>
      <color theme="9" tint="0.79998168889431442"/>
      <name val="Calibri"/>
      <family val="2"/>
      <scheme val="minor"/>
    </font>
    <font>
      <b/>
      <sz val="11"/>
      <name val="Calibri"/>
      <family val="2"/>
      <scheme val="minor"/>
    </font>
    <font>
      <b/>
      <sz val="13.5"/>
      <name val="Calibri"/>
      <family val="2"/>
      <scheme val="minor"/>
    </font>
    <font>
      <sz val="9"/>
      <color indexed="81"/>
      <name val="Segoe UI"/>
      <family val="2"/>
    </font>
    <font>
      <b/>
      <sz val="9"/>
      <color indexed="81"/>
      <name val="Segoe UI"/>
      <family val="2"/>
    </font>
    <font>
      <b/>
      <sz val="18"/>
      <color rgb="FFFF0000"/>
      <name val="Calibri"/>
      <family val="2"/>
      <scheme val="minor"/>
    </font>
    <font>
      <b/>
      <i/>
      <u/>
      <sz val="12"/>
      <color theme="1"/>
      <name val="Calibri"/>
      <family val="2"/>
      <scheme val="minor"/>
    </font>
    <font>
      <b/>
      <i/>
      <sz val="12"/>
      <name val="Calibri"/>
      <family val="2"/>
      <scheme val="minor"/>
    </font>
    <font>
      <b/>
      <i/>
      <sz val="11"/>
      <color theme="1"/>
      <name val="Calibri"/>
      <family val="2"/>
      <scheme val="minor"/>
    </font>
    <font>
      <b/>
      <i/>
      <sz val="12"/>
      <color theme="1"/>
      <name val="Calibri"/>
      <family val="2"/>
      <scheme val="minor"/>
    </font>
    <font>
      <b/>
      <sz val="14"/>
      <color theme="9" tint="-0.499984740745262"/>
      <name val="Calibri"/>
      <family val="2"/>
      <scheme val="minor"/>
    </font>
    <font>
      <b/>
      <sz val="16"/>
      <name val="Calibri"/>
      <family val="2"/>
      <scheme val="minor"/>
    </font>
    <font>
      <sz val="14"/>
      <color theme="1"/>
      <name val="Calibri"/>
      <family val="2"/>
      <scheme val="minor"/>
    </font>
    <font>
      <sz val="12"/>
      <color theme="1"/>
      <name val="Calibri"/>
      <family val="2"/>
      <scheme val="minor"/>
    </font>
    <font>
      <sz val="11"/>
      <color rgb="FFFF0000"/>
      <name val="Calibri"/>
      <family val="2"/>
      <scheme val="minor"/>
    </font>
    <font>
      <b/>
      <sz val="14"/>
      <name val="Calibri"/>
      <family val="2"/>
      <scheme val="minor"/>
    </font>
    <font>
      <sz val="14"/>
      <name val="Calibri"/>
      <family val="2"/>
      <scheme val="minor"/>
    </font>
    <font>
      <b/>
      <sz val="12"/>
      <name val="Calibri"/>
      <family val="2"/>
      <scheme val="minor"/>
    </font>
    <font>
      <u/>
      <sz val="11"/>
      <color theme="10"/>
      <name val="Calibri"/>
      <family val="2"/>
    </font>
    <font>
      <b/>
      <sz val="12"/>
      <name val="Calibri"/>
      <family val="2"/>
    </font>
    <font>
      <sz val="11"/>
      <color theme="9" tint="-0.499984740745262"/>
      <name val="Calibri"/>
      <family val="2"/>
      <scheme val="minor"/>
    </font>
    <font>
      <sz val="12"/>
      <name val="Calibri"/>
      <family val="2"/>
      <scheme val="minor"/>
    </font>
    <font>
      <b/>
      <sz val="12"/>
      <color theme="1"/>
      <name val="Calibri"/>
      <family val="2"/>
      <scheme val="minor"/>
    </font>
    <font>
      <sz val="12"/>
      <color theme="9" tint="-0.499984740745262"/>
      <name val="Calibri"/>
      <family val="2"/>
      <scheme val="minor"/>
    </font>
    <font>
      <b/>
      <u/>
      <sz val="12"/>
      <color theme="9" tint="-0.499984740745262"/>
      <name val="Calibri"/>
      <family val="2"/>
      <scheme val="minor"/>
    </font>
    <font>
      <sz val="12"/>
      <color rgb="FFFF0000"/>
      <name val="Calibri"/>
      <family val="2"/>
      <scheme val="minor"/>
    </font>
    <font>
      <sz val="12"/>
      <name val="Calibri"/>
      <family val="2"/>
    </font>
    <font>
      <b/>
      <u/>
      <sz val="11"/>
      <name val="Calibri"/>
      <family val="2"/>
    </font>
    <font>
      <b/>
      <u/>
      <sz val="11"/>
      <color theme="1"/>
      <name val="Calibri"/>
      <family val="2"/>
    </font>
    <font>
      <b/>
      <u/>
      <sz val="11"/>
      <color theme="9" tint="-0.499984740745262"/>
      <name val="Calibri"/>
      <family val="2"/>
    </font>
    <font>
      <b/>
      <sz val="11"/>
      <color theme="9" tint="-0.499984740745262"/>
      <name val="Calibri"/>
      <family val="2"/>
    </font>
    <font>
      <b/>
      <u/>
      <sz val="11"/>
      <color theme="9" tint="-0.499984740745262"/>
      <name val="Calibri"/>
      <family val="2"/>
      <scheme val="minor"/>
    </font>
    <font>
      <sz val="11"/>
      <color theme="0"/>
      <name val="Calibri"/>
      <family val="2"/>
      <scheme val="minor"/>
    </font>
    <font>
      <sz val="8"/>
      <color rgb="FF444444"/>
      <name val="Open Sans"/>
    </font>
    <font>
      <sz val="8"/>
      <color theme="0"/>
      <name val="Open Sans"/>
    </font>
    <font>
      <b/>
      <u/>
      <sz val="11"/>
      <name val="Calibri"/>
      <family val="2"/>
      <scheme val="minor"/>
    </font>
    <font>
      <sz val="10"/>
      <color theme="1"/>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indexed="9"/>
        <bgColor indexed="9"/>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79998168889431442"/>
        <bgColor indexed="64"/>
      </patternFill>
    </fill>
  </fills>
  <borders count="3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left>
      <right style="medium">
        <color theme="0"/>
      </right>
      <top/>
      <bottom style="medium">
        <color theme="0"/>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style="thin">
        <color theme="9" tint="0.79998168889431442"/>
      </left>
      <right/>
      <top style="thin">
        <color theme="9" tint="0.79998168889431442"/>
      </top>
      <bottom style="thin">
        <color theme="9" tint="0.79998168889431442"/>
      </bottom>
      <diagonal/>
    </border>
    <border>
      <left/>
      <right/>
      <top style="thin">
        <color theme="9" tint="0.79998168889431442"/>
      </top>
      <bottom style="thin">
        <color theme="9" tint="0.79998168889431442"/>
      </bottom>
      <diagonal/>
    </border>
    <border>
      <left/>
      <right style="thin">
        <color theme="9" tint="0.79998168889431442"/>
      </right>
      <top style="thin">
        <color theme="9" tint="0.79998168889431442"/>
      </top>
      <bottom style="thin">
        <color theme="9" tint="0.79998168889431442"/>
      </bottom>
      <diagonal/>
    </border>
    <border>
      <left/>
      <right/>
      <top style="medium">
        <color theme="9" tint="0.79995117038483843"/>
      </top>
      <bottom style="thin">
        <color theme="9" tint="0.79998168889431442"/>
      </bottom>
      <diagonal/>
    </border>
    <border>
      <left/>
      <right style="thin">
        <color theme="9" tint="0.79998168889431442"/>
      </right>
      <top style="medium">
        <color theme="9" tint="0.79995117038483843"/>
      </top>
      <bottom style="thin">
        <color theme="9" tint="0.79998168889431442"/>
      </bottom>
      <diagonal/>
    </border>
    <border>
      <left style="thin">
        <color theme="9" tint="0.79998168889431442"/>
      </left>
      <right style="medium">
        <color theme="9" tint="0.79995117038483843"/>
      </right>
      <top style="thin">
        <color theme="9" tint="0.79998168889431442"/>
      </top>
      <bottom style="thin">
        <color theme="9" tint="0.79998168889431442"/>
      </bottom>
      <diagonal/>
    </border>
    <border>
      <left/>
      <right/>
      <top/>
      <bottom style="medium">
        <color theme="9" tint="0.79992065187536243"/>
      </bottom>
      <diagonal/>
    </border>
    <border>
      <left style="thin">
        <color theme="9" tint="0.79998168889431442"/>
      </left>
      <right style="thin">
        <color theme="9" tint="0.79998168889431442"/>
      </right>
      <top style="thin">
        <color theme="9" tint="0.79998168889431442"/>
      </top>
      <bottom style="medium">
        <color theme="9" tint="0.79992065187536243"/>
      </bottom>
      <diagonal/>
    </border>
    <border>
      <left style="thin">
        <color theme="9" tint="0.79998168889431442"/>
      </left>
      <right style="medium">
        <color theme="9" tint="0.79995117038483843"/>
      </right>
      <top style="thin">
        <color theme="9" tint="0.79998168889431442"/>
      </top>
      <bottom style="medium">
        <color theme="9" tint="0.79992065187536243"/>
      </bottom>
      <diagonal/>
    </border>
    <border>
      <left style="medium">
        <color rgb="FFF5F8F2"/>
      </left>
      <right style="medium">
        <color rgb="FFF5F8F2"/>
      </right>
      <top style="medium">
        <color rgb="FFF5F8F2"/>
      </top>
      <bottom/>
      <diagonal/>
    </border>
    <border>
      <left style="medium">
        <color rgb="FFF5F8F2"/>
      </left>
      <right style="medium">
        <color rgb="FFF5F8F2"/>
      </right>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right/>
      <top/>
      <bottom style="thin">
        <color indexed="64"/>
      </bottom>
      <diagonal/>
    </border>
    <border>
      <left style="thick">
        <color theme="0"/>
      </left>
      <right style="thick">
        <color theme="0"/>
      </right>
      <top style="thick">
        <color theme="0"/>
      </top>
      <bottom style="thick">
        <color theme="0"/>
      </bottom>
      <diagonal/>
    </border>
    <border>
      <left style="thin">
        <color theme="9" tint="0.79998168889431442"/>
      </left>
      <right style="thin">
        <color theme="9" tint="0.79998168889431442"/>
      </right>
      <top/>
      <bottom style="thin">
        <color theme="9" tint="0.79998168889431442"/>
      </bottom>
      <diagonal/>
    </border>
    <border>
      <left style="thick">
        <color theme="9" tint="0.79998168889431442"/>
      </left>
      <right/>
      <top/>
      <bottom style="thin">
        <color indexed="64"/>
      </bottom>
      <diagonal/>
    </border>
    <border>
      <left/>
      <right style="thick">
        <color theme="9" tint="0.79998168889431442"/>
      </right>
      <top/>
      <bottom style="thin">
        <color indexed="64"/>
      </bottom>
      <diagonal/>
    </border>
    <border>
      <left style="thick">
        <color theme="9" tint="-0.24994659260841701"/>
      </left>
      <right/>
      <top style="thick">
        <color theme="9" tint="-0.24994659260841701"/>
      </top>
      <bottom/>
      <diagonal/>
    </border>
    <border>
      <left/>
      <right/>
      <top style="thick">
        <color theme="9" tint="-0.24994659260841701"/>
      </top>
      <bottom/>
      <diagonal/>
    </border>
    <border>
      <left/>
      <right style="thick">
        <color theme="9" tint="-0.24994659260841701"/>
      </right>
      <top style="thick">
        <color theme="9" tint="-0.24994659260841701"/>
      </top>
      <bottom/>
      <diagonal/>
    </border>
    <border>
      <left style="thick">
        <color theme="9" tint="-0.24994659260841701"/>
      </left>
      <right/>
      <top/>
      <bottom/>
      <diagonal/>
    </border>
    <border>
      <left/>
      <right style="thick">
        <color theme="9" tint="-0.24994659260841701"/>
      </right>
      <top/>
      <bottom/>
      <diagonal/>
    </border>
    <border>
      <left style="thick">
        <color theme="9" tint="-0.24994659260841701"/>
      </left>
      <right/>
      <top/>
      <bottom style="thick">
        <color theme="9" tint="-0.24994659260841701"/>
      </bottom>
      <diagonal/>
    </border>
    <border>
      <left/>
      <right/>
      <top/>
      <bottom style="thick">
        <color theme="9" tint="-0.24994659260841701"/>
      </bottom>
      <diagonal/>
    </border>
    <border>
      <left/>
      <right style="thick">
        <color theme="9" tint="-0.24994659260841701"/>
      </right>
      <top/>
      <bottom style="thick">
        <color theme="9" tint="-0.24994659260841701"/>
      </bottom>
      <diagonal/>
    </border>
    <border>
      <left/>
      <right/>
      <top/>
      <bottom style="medium">
        <color theme="9" tint="-0.24994659260841701"/>
      </bottom>
      <diagonal/>
    </border>
    <border>
      <left style="thin">
        <color theme="9" tint="0.79998168889431442"/>
      </left>
      <right/>
      <top/>
      <bottom style="thin">
        <color theme="9" tint="0.79998168889431442"/>
      </bottom>
      <diagonal/>
    </border>
  </borders>
  <cellStyleXfs count="5">
    <xf numFmtId="0" fontId="0" fillId="0" borderId="0"/>
    <xf numFmtId="0" fontId="4" fillId="0" borderId="0"/>
    <xf numFmtId="0" fontId="40" fillId="0" borderId="0" applyNumberFormat="0" applyFill="0" applyBorder="0" applyAlignment="0" applyProtection="0"/>
    <xf numFmtId="0" fontId="40" fillId="0" borderId="0" applyNumberFormat="0" applyFill="0" applyBorder="0" applyAlignment="0" applyProtection="0"/>
    <xf numFmtId="0" fontId="27" fillId="0" borderId="0" applyNumberFormat="0" applyFill="0" applyBorder="0" applyAlignment="0" applyProtection="0">
      <alignment vertical="top"/>
      <protection locked="0"/>
    </xf>
  </cellStyleXfs>
  <cellXfs count="201">
    <xf numFmtId="0" fontId="0" fillId="0" borderId="0" xfId="0"/>
    <xf numFmtId="167" fontId="0" fillId="4" borderId="20" xfId="0" applyNumberFormat="1" applyFont="1" applyFill="1" applyBorder="1" applyAlignment="1" applyProtection="1">
      <alignment horizontal="right"/>
      <protection locked="0"/>
    </xf>
    <xf numFmtId="167" fontId="0" fillId="4" borderId="21" xfId="0" applyNumberFormat="1" applyFont="1" applyFill="1" applyBorder="1" applyAlignment="1" applyProtection="1">
      <alignment horizontal="right"/>
      <protection locked="0"/>
    </xf>
    <xf numFmtId="0" fontId="0" fillId="0" borderId="0" xfId="0" applyProtection="1"/>
    <xf numFmtId="0" fontId="0" fillId="2" borderId="0" xfId="0" applyFill="1" applyProtection="1"/>
    <xf numFmtId="0" fontId="1" fillId="2" borderId="0" xfId="0" applyFont="1" applyFill="1" applyProtection="1"/>
    <xf numFmtId="0" fontId="0" fillId="2" borderId="0" xfId="0" applyFill="1" applyAlignment="1" applyProtection="1">
      <alignment horizontal="center"/>
    </xf>
    <xf numFmtId="0" fontId="5" fillId="0" borderId="1" xfId="1" applyFont="1" applyBorder="1" applyAlignment="1" applyProtection="1">
      <alignment horizontal="centerContinuous" vertical="center"/>
    </xf>
    <xf numFmtId="0" fontId="5" fillId="0" borderId="2" xfId="1" applyFont="1" applyBorder="1" applyAlignment="1" applyProtection="1">
      <alignment horizontal="centerContinuous" vertical="center"/>
    </xf>
    <xf numFmtId="0" fontId="6" fillId="3" borderId="3" xfId="1" applyFont="1" applyFill="1" applyBorder="1" applyProtection="1"/>
    <xf numFmtId="0" fontId="6" fillId="3" borderId="4" xfId="1" applyFont="1" applyFill="1" applyBorder="1" applyProtection="1"/>
    <xf numFmtId="0" fontId="6" fillId="3" borderId="5" xfId="1" applyFont="1" applyFill="1" applyBorder="1" applyProtection="1"/>
    <xf numFmtId="0" fontId="6" fillId="3" borderId="6" xfId="1" applyFont="1" applyFill="1" applyBorder="1" applyProtection="1"/>
    <xf numFmtId="167" fontId="0" fillId="2" borderId="9" xfId="0" applyNumberFormat="1" applyFont="1" applyFill="1" applyBorder="1" applyAlignment="1" applyProtection="1">
      <alignment horizontal="right"/>
    </xf>
    <xf numFmtId="0" fontId="6" fillId="3" borderId="7" xfId="1" applyFont="1" applyFill="1" applyBorder="1" applyProtection="1"/>
    <xf numFmtId="0" fontId="6" fillId="3" borderId="8" xfId="1" applyFont="1" applyFill="1" applyBorder="1" applyProtection="1"/>
    <xf numFmtId="170" fontId="0" fillId="0" borderId="22" xfId="0" applyNumberFormat="1" applyFill="1" applyBorder="1" applyAlignment="1" applyProtection="1">
      <alignment horizontal="center"/>
      <protection locked="0"/>
    </xf>
    <xf numFmtId="170" fontId="0" fillId="0" borderId="23" xfId="0" applyNumberFormat="1" applyFill="1" applyBorder="1" applyAlignment="1" applyProtection="1">
      <alignment horizontal="center"/>
      <protection locked="0"/>
    </xf>
    <xf numFmtId="171" fontId="1" fillId="2" borderId="9" xfId="0" applyNumberFormat="1" applyFont="1" applyFill="1" applyBorder="1" applyAlignment="1" applyProtection="1">
      <alignment horizontal="center"/>
    </xf>
    <xf numFmtId="170" fontId="2" fillId="0" borderId="10" xfId="0" applyNumberFormat="1" applyFont="1" applyFill="1" applyBorder="1" applyAlignment="1" applyProtection="1">
      <alignment horizontal="center"/>
      <protection locked="0"/>
    </xf>
    <xf numFmtId="0" fontId="0" fillId="2" borderId="24" xfId="0" applyFill="1" applyBorder="1" applyProtection="1"/>
    <xf numFmtId="0" fontId="1" fillId="2" borderId="0" xfId="0" applyFont="1" applyFill="1" applyAlignment="1" applyProtection="1">
      <alignment horizontal="center"/>
    </xf>
    <xf numFmtId="20" fontId="2" fillId="0" borderId="10" xfId="0" applyNumberFormat="1" applyFont="1" applyBorder="1" applyAlignment="1" applyProtection="1">
      <alignment horizontal="center" vertical="center"/>
      <protection locked="0"/>
    </xf>
    <xf numFmtId="165" fontId="2" fillId="0" borderId="10" xfId="0" applyNumberFormat="1" applyFont="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20" fontId="2" fillId="0" borderId="10" xfId="0" applyNumberFormat="1" applyFont="1" applyFill="1" applyBorder="1" applyAlignment="1" applyProtection="1">
      <alignment horizontal="center" vertical="center"/>
      <protection locked="0"/>
    </xf>
    <xf numFmtId="20" fontId="2" fillId="0" borderId="18" xfId="0" applyNumberFormat="1"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0" fontId="7" fillId="2" borderId="0" xfId="0" applyFont="1" applyFill="1" applyAlignment="1" applyProtection="1"/>
    <xf numFmtId="0" fontId="0" fillId="2" borderId="0" xfId="0" applyFill="1" applyAlignment="1" applyProtection="1"/>
    <xf numFmtId="0" fontId="7" fillId="2" borderId="0" xfId="0" applyFont="1" applyFill="1" applyAlignment="1" applyProtection="1">
      <alignment horizontal="left"/>
    </xf>
    <xf numFmtId="0" fontId="11" fillId="2" borderId="0" xfId="0" applyFont="1" applyFill="1" applyAlignment="1" applyProtection="1"/>
    <xf numFmtId="0" fontId="1" fillId="2" borderId="0" xfId="0" applyFont="1" applyFill="1" applyAlignment="1" applyProtection="1">
      <alignment horizontal="right"/>
    </xf>
    <xf numFmtId="0" fontId="8" fillId="2" borderId="0" xfId="0" applyFont="1" applyFill="1" applyProtection="1"/>
    <xf numFmtId="14" fontId="0" fillId="2" borderId="0" xfId="0" applyNumberFormat="1" applyFill="1" applyProtection="1"/>
    <xf numFmtId="166" fontId="1" fillId="2" borderId="10" xfId="0" applyNumberFormat="1" applyFont="1" applyFill="1" applyBorder="1" applyAlignment="1" applyProtection="1">
      <alignment horizontal="center"/>
    </xf>
    <xf numFmtId="0" fontId="0" fillId="2" borderId="14" xfId="0" applyFont="1" applyFill="1" applyBorder="1" applyProtection="1"/>
    <xf numFmtId="0" fontId="0" fillId="2" borderId="15" xfId="0" applyFont="1" applyFill="1" applyBorder="1" applyProtection="1"/>
    <xf numFmtId="0" fontId="0" fillId="2" borderId="11" xfId="0" applyFont="1" applyFill="1" applyBorder="1" applyProtection="1"/>
    <xf numFmtId="0" fontId="0" fillId="2" borderId="12" xfId="0" applyFont="1" applyFill="1" applyBorder="1" applyProtection="1"/>
    <xf numFmtId="0" fontId="0" fillId="2" borderId="13" xfId="0" applyFont="1" applyFill="1" applyBorder="1" applyProtection="1"/>
    <xf numFmtId="0" fontId="0" fillId="2" borderId="11" xfId="0" applyFont="1" applyFill="1" applyBorder="1" applyAlignment="1" applyProtection="1">
      <alignment horizontal="left"/>
    </xf>
    <xf numFmtId="169" fontId="10" fillId="2" borderId="0" xfId="0" applyNumberFormat="1" applyFont="1" applyFill="1" applyAlignment="1" applyProtection="1">
      <alignment horizontal="right"/>
    </xf>
    <xf numFmtId="0" fontId="9" fillId="2" borderId="0" xfId="0" applyFont="1" applyFill="1" applyProtection="1"/>
    <xf numFmtId="14" fontId="2" fillId="2" borderId="0" xfId="0" applyNumberFormat="1" applyFont="1" applyFill="1" applyAlignment="1" applyProtection="1">
      <alignment vertical="center"/>
    </xf>
    <xf numFmtId="165" fontId="2" fillId="2" borderId="0" xfId="0" applyNumberFormat="1" applyFont="1" applyFill="1" applyAlignment="1" applyProtection="1">
      <alignment vertical="center"/>
    </xf>
    <xf numFmtId="20" fontId="2" fillId="2" borderId="10" xfId="0" applyNumberFormat="1" applyFont="1" applyFill="1" applyBorder="1" applyAlignment="1" applyProtection="1">
      <alignment horizontal="center" vertical="center"/>
    </xf>
    <xf numFmtId="20" fontId="2" fillId="2" borderId="0" xfId="0" applyNumberFormat="1" applyFont="1" applyFill="1" applyAlignment="1" applyProtection="1">
      <alignment horizontal="center" vertical="center"/>
    </xf>
    <xf numFmtId="164" fontId="0" fillId="2" borderId="0" xfId="0" applyNumberFormat="1" applyFill="1" applyAlignment="1" applyProtection="1">
      <alignment horizontal="center" vertical="center"/>
    </xf>
    <xf numFmtId="20" fontId="0" fillId="2" borderId="0" xfId="0" applyNumberFormat="1" applyFill="1" applyAlignment="1" applyProtection="1">
      <alignment horizontal="center" vertical="center"/>
    </xf>
    <xf numFmtId="0" fontId="2" fillId="2" borderId="0" xfId="0" applyFont="1" applyFill="1" applyAlignment="1" applyProtection="1">
      <alignment vertical="center"/>
    </xf>
    <xf numFmtId="0" fontId="3" fillId="2" borderId="0" xfId="0" applyFont="1" applyFill="1" applyProtection="1"/>
    <xf numFmtId="20" fontId="0" fillId="0" borderId="0" xfId="0" applyNumberFormat="1" applyProtection="1"/>
    <xf numFmtId="0" fontId="3" fillId="2" borderId="0" xfId="0" applyFont="1" applyFill="1" applyAlignment="1" applyProtection="1"/>
    <xf numFmtId="14" fontId="2" fillId="2" borderId="17" xfId="0" applyNumberFormat="1" applyFont="1" applyFill="1" applyBorder="1" applyAlignment="1" applyProtection="1">
      <alignment vertical="center"/>
    </xf>
    <xf numFmtId="0" fontId="2" fillId="2" borderId="17" xfId="0" applyFont="1" applyFill="1" applyBorder="1" applyAlignment="1" applyProtection="1">
      <alignment vertical="center"/>
    </xf>
    <xf numFmtId="164" fontId="0" fillId="2" borderId="17" xfId="0" applyNumberFormat="1" applyFill="1" applyBorder="1" applyAlignment="1" applyProtection="1">
      <alignment horizontal="center" vertical="center"/>
    </xf>
    <xf numFmtId="20" fontId="0" fillId="2" borderId="17" xfId="0" applyNumberFormat="1" applyFill="1" applyBorder="1" applyAlignment="1" applyProtection="1">
      <alignment horizontal="center" vertical="center"/>
    </xf>
    <xf numFmtId="20" fontId="2" fillId="2" borderId="18" xfId="0" applyNumberFormat="1" applyFont="1" applyFill="1" applyBorder="1" applyAlignment="1" applyProtection="1">
      <alignment horizontal="center" vertical="center"/>
    </xf>
    <xf numFmtId="20" fontId="2" fillId="2" borderId="17" xfId="0" applyNumberFormat="1" applyFont="1" applyFill="1" applyBorder="1" applyAlignment="1" applyProtection="1">
      <alignment horizontal="center" vertical="center"/>
    </xf>
    <xf numFmtId="164" fontId="1" fillId="2" borderId="0" xfId="0" applyNumberFormat="1" applyFont="1" applyFill="1" applyAlignment="1" applyProtection="1">
      <alignment horizontal="center" vertical="center"/>
    </xf>
    <xf numFmtId="0" fontId="1" fillId="2" borderId="0" xfId="0" applyFont="1" applyFill="1" applyAlignment="1" applyProtection="1">
      <alignment horizontal="center" vertical="center"/>
    </xf>
    <xf numFmtId="172" fontId="1" fillId="2" borderId="0" xfId="0" applyNumberFormat="1" applyFont="1" applyFill="1" applyAlignment="1" applyProtection="1">
      <alignment horizontal="right" vertical="center"/>
    </xf>
    <xf numFmtId="0" fontId="9" fillId="0" borderId="0" xfId="0" applyFont="1" applyFill="1" applyProtection="1"/>
    <xf numFmtId="0" fontId="0" fillId="0" borderId="0" xfId="0" applyFill="1" applyProtection="1"/>
    <xf numFmtId="169" fontId="0" fillId="2" borderId="25" xfId="0" applyNumberFormat="1" applyFill="1" applyBorder="1" applyAlignment="1" applyProtection="1">
      <alignment horizontal="center"/>
    </xf>
    <xf numFmtId="166" fontId="0" fillId="2" borderId="25" xfId="0" applyNumberFormat="1" applyFill="1" applyBorder="1" applyAlignment="1" applyProtection="1">
      <alignment horizontal="center"/>
    </xf>
    <xf numFmtId="174" fontId="0" fillId="2" borderId="25" xfId="0" applyNumberFormat="1" applyFill="1" applyBorder="1" applyAlignment="1" applyProtection="1">
      <alignment horizontal="center"/>
    </xf>
    <xf numFmtId="175" fontId="0" fillId="2" borderId="0" xfId="0" applyNumberFormat="1" applyFill="1" applyAlignment="1" applyProtection="1">
      <alignment horizontal="right" vertical="center"/>
    </xf>
    <xf numFmtId="175" fontId="0" fillId="2" borderId="17" xfId="0" applyNumberFormat="1" applyFill="1" applyBorder="1" applyAlignment="1" applyProtection="1">
      <alignment horizontal="right" vertical="center"/>
    </xf>
    <xf numFmtId="0" fontId="1" fillId="2" borderId="24" xfId="0" applyFont="1" applyFill="1" applyBorder="1" applyProtection="1"/>
    <xf numFmtId="0" fontId="2" fillId="2" borderId="0" xfId="0" applyFont="1" applyFill="1" applyProtection="1"/>
    <xf numFmtId="0" fontId="10" fillId="2" borderId="0" xfId="0" applyFont="1" applyFill="1" applyAlignment="1" applyProtection="1">
      <alignment horizontal="right"/>
    </xf>
    <xf numFmtId="167" fontId="1" fillId="2" borderId="0" xfId="0" applyNumberFormat="1" applyFont="1" applyFill="1" applyAlignment="1" applyProtection="1">
      <alignment horizontal="center"/>
    </xf>
    <xf numFmtId="169" fontId="0" fillId="2" borderId="0" xfId="0" applyNumberFormat="1" applyFill="1" applyBorder="1" applyAlignment="1" applyProtection="1">
      <alignment horizontal="center"/>
    </xf>
    <xf numFmtId="174" fontId="0" fillId="2" borderId="0" xfId="0" applyNumberFormat="1" applyFill="1" applyBorder="1" applyAlignment="1" applyProtection="1">
      <alignment horizontal="center"/>
    </xf>
    <xf numFmtId="166" fontId="0" fillId="2" borderId="0" xfId="0" applyNumberFormat="1" applyFill="1" applyBorder="1" applyAlignment="1" applyProtection="1">
      <alignment horizontal="center"/>
    </xf>
    <xf numFmtId="166" fontId="1" fillId="2" borderId="26" xfId="0" applyNumberFormat="1" applyFont="1" applyFill="1" applyBorder="1" applyAlignment="1" applyProtection="1">
      <alignment horizontal="center"/>
    </xf>
    <xf numFmtId="0" fontId="18" fillId="2" borderId="24" xfId="0" applyFont="1" applyFill="1" applyBorder="1" applyAlignment="1" applyProtection="1"/>
    <xf numFmtId="0" fontId="15" fillId="2" borderId="24" xfId="0" applyFont="1" applyFill="1" applyBorder="1" applyAlignment="1" applyProtection="1"/>
    <xf numFmtId="0" fontId="0" fillId="2" borderId="27" xfId="0" applyFill="1" applyBorder="1" applyProtection="1"/>
    <xf numFmtId="0" fontId="0" fillId="2" borderId="29" xfId="0" applyFill="1" applyBorder="1" applyProtection="1"/>
    <xf numFmtId="0" fontId="0" fillId="2" borderId="30" xfId="0" applyFill="1" applyBorder="1" applyProtection="1"/>
    <xf numFmtId="0" fontId="0" fillId="2" borderId="31" xfId="0" applyFill="1" applyBorder="1" applyProtection="1"/>
    <xf numFmtId="0" fontId="0" fillId="2" borderId="32" xfId="0" applyFill="1" applyBorder="1" applyProtection="1"/>
    <xf numFmtId="0" fontId="0" fillId="2" borderId="0" xfId="0" applyFill="1" applyBorder="1" applyProtection="1"/>
    <xf numFmtId="0" fontId="0" fillId="2" borderId="33" xfId="0" applyFill="1" applyBorder="1" applyProtection="1"/>
    <xf numFmtId="0" fontId="1" fillId="2" borderId="0" xfId="0" applyFont="1" applyFill="1" applyBorder="1" applyProtection="1"/>
    <xf numFmtId="168" fontId="2" fillId="0" borderId="0" xfId="0" applyNumberFormat="1" applyFont="1" applyFill="1" applyBorder="1" applyProtection="1">
      <protection locked="0"/>
    </xf>
    <xf numFmtId="0" fontId="0" fillId="2" borderId="0" xfId="0" quotePrefix="1" applyFill="1" applyBorder="1" applyAlignment="1" applyProtection="1">
      <alignment horizontal="right"/>
    </xf>
    <xf numFmtId="173" fontId="0" fillId="2" borderId="0" xfId="0" applyNumberFormat="1" applyFill="1" applyBorder="1" applyAlignment="1" applyProtection="1">
      <alignment horizontal="center"/>
    </xf>
    <xf numFmtId="0" fontId="1" fillId="2" borderId="0" xfId="0" applyFont="1" applyFill="1" applyBorder="1" applyAlignment="1" applyProtection="1">
      <alignment horizontal="center"/>
    </xf>
    <xf numFmtId="0" fontId="0" fillId="2" borderId="0" xfId="0" applyFill="1" applyBorder="1" applyAlignment="1" applyProtection="1">
      <alignment horizontal="center"/>
    </xf>
    <xf numFmtId="0" fontId="1" fillId="2" borderId="0" xfId="0" applyFont="1" applyFill="1" applyBorder="1" applyAlignment="1" applyProtection="1">
      <alignment horizontal="right"/>
    </xf>
    <xf numFmtId="0" fontId="0" fillId="2" borderId="34" xfId="0" applyFill="1" applyBorder="1" applyProtection="1"/>
    <xf numFmtId="0" fontId="0" fillId="2" borderId="35" xfId="0" applyFill="1" applyBorder="1" applyProtection="1"/>
    <xf numFmtId="0" fontId="0" fillId="2" borderId="36" xfId="0" applyFill="1" applyBorder="1" applyProtection="1"/>
    <xf numFmtId="0" fontId="19" fillId="2" borderId="30" xfId="0" applyFont="1" applyFill="1" applyBorder="1" applyProtection="1"/>
    <xf numFmtId="0" fontId="19" fillId="2" borderId="0" xfId="0" applyFont="1" applyFill="1" applyBorder="1" applyProtection="1"/>
    <xf numFmtId="0" fontId="0" fillId="2" borderId="37" xfId="0" applyFill="1" applyBorder="1" applyProtection="1"/>
    <xf numFmtId="0" fontId="14" fillId="2" borderId="0" xfId="0" applyNumberFormat="1" applyFont="1" applyFill="1" applyAlignment="1" applyProtection="1">
      <alignment horizontal="center"/>
    </xf>
    <xf numFmtId="0" fontId="0" fillId="2" borderId="0" xfId="0" applyFill="1"/>
    <xf numFmtId="0" fontId="0" fillId="2" borderId="38" xfId="0" applyFont="1" applyFill="1" applyBorder="1" applyProtection="1"/>
    <xf numFmtId="169" fontId="2" fillId="2" borderId="0" xfId="0" applyNumberFormat="1" applyFont="1" applyFill="1" applyAlignment="1" applyProtection="1">
      <alignment horizontal="right"/>
    </xf>
    <xf numFmtId="167" fontId="0" fillId="2" borderId="0" xfId="0" applyNumberFormat="1" applyFont="1" applyFill="1" applyAlignment="1" applyProtection="1">
      <alignment horizontal="center"/>
    </xf>
    <xf numFmtId="166" fontId="0" fillId="2" borderId="26" xfId="0" applyNumberFormat="1" applyFont="1" applyFill="1" applyBorder="1" applyAlignment="1" applyProtection="1">
      <alignment horizontal="center"/>
    </xf>
    <xf numFmtId="166" fontId="0" fillId="2" borderId="10" xfId="0" applyNumberFormat="1" applyFont="1" applyFill="1" applyBorder="1" applyAlignment="1" applyProtection="1">
      <alignment horizontal="center"/>
    </xf>
    <xf numFmtId="0" fontId="20" fillId="5" borderId="0" xfId="0" applyFont="1" applyFill="1"/>
    <xf numFmtId="176" fontId="21" fillId="5" borderId="0" xfId="0" applyNumberFormat="1" applyFont="1" applyFill="1"/>
    <xf numFmtId="0" fontId="22" fillId="5" borderId="0" xfId="0" applyFont="1" applyFill="1" applyAlignment="1">
      <alignment horizontal="left"/>
    </xf>
    <xf numFmtId="0" fontId="22" fillId="5" borderId="0" xfId="0" applyFont="1" applyFill="1" applyAlignment="1">
      <alignment horizontal="center"/>
    </xf>
    <xf numFmtId="0" fontId="22" fillId="5" borderId="0" xfId="0" applyFont="1" applyFill="1" applyAlignment="1">
      <alignment horizontal="right"/>
    </xf>
    <xf numFmtId="0" fontId="22" fillId="5" borderId="0" xfId="0" quotePrefix="1" applyFont="1" applyFill="1" applyAlignment="1">
      <alignment horizontal="left"/>
    </xf>
    <xf numFmtId="0" fontId="0" fillId="5" borderId="0" xfId="0" applyFill="1" applyAlignment="1">
      <alignment horizontal="left" vertical="top"/>
    </xf>
    <xf numFmtId="4" fontId="0" fillId="5" borderId="0" xfId="0" applyNumberFormat="1" applyFill="1"/>
    <xf numFmtId="14" fontId="0" fillId="5" borderId="0" xfId="0" applyNumberFormat="1" applyFill="1" applyAlignment="1">
      <alignment horizontal="center"/>
    </xf>
    <xf numFmtId="14" fontId="0" fillId="5" borderId="0" xfId="0" applyNumberFormat="1" applyFill="1"/>
    <xf numFmtId="0" fontId="23" fillId="0" borderId="0" xfId="0" applyFont="1"/>
    <xf numFmtId="0" fontId="19" fillId="2" borderId="0" xfId="0" applyFont="1" applyFill="1"/>
    <xf numFmtId="0" fontId="24" fillId="2" borderId="0" xfId="0" applyFont="1" applyFill="1" applyAlignment="1">
      <alignment horizontal="left" vertical="center"/>
    </xf>
    <xf numFmtId="0" fontId="25" fillId="2" borderId="0" xfId="0" applyFont="1" applyFill="1"/>
    <xf numFmtId="0" fontId="26" fillId="2" borderId="0" xfId="0" applyFont="1" applyFill="1" applyAlignment="1">
      <alignment horizontal="right"/>
    </xf>
    <xf numFmtId="0" fontId="28" fillId="2" borderId="0" xfId="4" applyFont="1" applyFill="1" applyAlignment="1" applyProtection="1"/>
    <xf numFmtId="0" fontId="27" fillId="2" borderId="0" xfId="4" applyFill="1" applyAlignment="1" applyProtection="1"/>
    <xf numFmtId="0" fontId="29" fillId="2" borderId="0" xfId="0" applyFont="1" applyFill="1"/>
    <xf numFmtId="0" fontId="2" fillId="0" borderId="0" xfId="0" applyFont="1"/>
    <xf numFmtId="0" fontId="1" fillId="2" borderId="0" xfId="0" applyFont="1" applyFill="1"/>
    <xf numFmtId="0" fontId="22" fillId="2" borderId="0" xfId="0" applyFont="1" applyFill="1"/>
    <xf numFmtId="0" fontId="26" fillId="2" borderId="0" xfId="0" applyFont="1" applyFill="1" applyAlignment="1">
      <alignment horizontal="left" vertical="center"/>
    </xf>
    <xf numFmtId="0" fontId="31" fillId="2" borderId="0" xfId="0" applyFont="1" applyFill="1"/>
    <xf numFmtId="0" fontId="32" fillId="2" borderId="0" xfId="0" applyFont="1" applyFill="1"/>
    <xf numFmtId="0" fontId="26" fillId="2" borderId="0" xfId="0" applyFont="1" applyFill="1"/>
    <xf numFmtId="0" fontId="33" fillId="2" borderId="0" xfId="0" applyFont="1" applyFill="1"/>
    <xf numFmtId="0" fontId="30" fillId="2" borderId="0" xfId="0" applyFont="1" applyFill="1"/>
    <xf numFmtId="0" fontId="34" fillId="2" borderId="0" xfId="0" applyFont="1" applyFill="1"/>
    <xf numFmtId="0" fontId="35" fillId="2" borderId="0" xfId="4" applyFont="1" applyFill="1" applyAlignment="1" applyProtection="1"/>
    <xf numFmtId="0" fontId="37" fillId="2" borderId="0" xfId="4" applyFont="1" applyFill="1" applyAlignment="1" applyProtection="1"/>
    <xf numFmtId="0" fontId="30" fillId="2" borderId="0" xfId="0" applyFont="1" applyFill="1" applyAlignment="1">
      <alignment horizontal="right"/>
    </xf>
    <xf numFmtId="0" fontId="2" fillId="2" borderId="0" xfId="0" applyFont="1" applyFill="1"/>
    <xf numFmtId="0" fontId="34" fillId="2" borderId="0" xfId="0" applyFont="1" applyFill="1" applyAlignment="1">
      <alignment horizontal="right"/>
    </xf>
    <xf numFmtId="0" fontId="30" fillId="2" borderId="0" xfId="0" applyFont="1" applyFill="1" applyAlignment="1">
      <alignment horizontal="left"/>
    </xf>
    <xf numFmtId="0" fontId="38" fillId="2" borderId="0" xfId="4" applyFont="1" applyFill="1" applyAlignment="1" applyProtection="1"/>
    <xf numFmtId="0" fontId="39" fillId="2" borderId="0" xfId="4" applyFont="1" applyFill="1" applyAlignment="1" applyProtection="1">
      <alignment horizontal="center"/>
    </xf>
    <xf numFmtId="0" fontId="40" fillId="2" borderId="0" xfId="2" applyFill="1" applyAlignment="1" applyProtection="1">
      <alignment horizontal="left"/>
    </xf>
    <xf numFmtId="0" fontId="0" fillId="0" borderId="0" xfId="0" applyProtection="1">
      <protection locked="0"/>
    </xf>
    <xf numFmtId="0" fontId="20" fillId="6" borderId="0" xfId="0" applyFont="1" applyFill="1" applyProtection="1"/>
    <xf numFmtId="0" fontId="23" fillId="0" borderId="0" xfId="0" applyFont="1" applyProtection="1"/>
    <xf numFmtId="0" fontId="1" fillId="2" borderId="0" xfId="0" applyFont="1" applyFill="1" applyAlignment="1" applyProtection="1">
      <alignment wrapText="1"/>
    </xf>
    <xf numFmtId="0" fontId="1" fillId="2" borderId="0" xfId="0" applyFont="1" applyFill="1" applyAlignment="1" applyProtection="1">
      <alignment horizontal="right" wrapText="1"/>
    </xf>
    <xf numFmtId="0" fontId="0" fillId="2" borderId="0" xfId="0" applyFill="1" applyAlignment="1" applyProtection="1">
      <alignment horizontal="center" vertical="center" wrapText="1"/>
    </xf>
    <xf numFmtId="0" fontId="0" fillId="2" borderId="0" xfId="0" applyFill="1" applyAlignment="1" applyProtection="1">
      <alignment horizontal="center" vertical="center"/>
    </xf>
    <xf numFmtId="0" fontId="0" fillId="2" borderId="0" xfId="0" applyFill="1" applyAlignment="1" applyProtection="1">
      <alignment horizontal="center" vertical="top" wrapText="1"/>
    </xf>
    <xf numFmtId="0" fontId="0" fillId="2" borderId="0" xfId="0" applyFill="1" applyAlignment="1" applyProtection="1">
      <alignment horizontal="center" wrapText="1"/>
    </xf>
    <xf numFmtId="0" fontId="0" fillId="0" borderId="0" xfId="0" applyAlignment="1" applyProtection="1">
      <alignment horizontal="right"/>
    </xf>
    <xf numFmtId="14" fontId="41" fillId="0" borderId="0" xfId="0" applyNumberFormat="1" applyFont="1" applyAlignment="1" applyProtection="1">
      <alignment horizontal="right"/>
    </xf>
    <xf numFmtId="177" fontId="0" fillId="0" borderId="0" xfId="0" applyNumberFormat="1" applyAlignment="1" applyProtection="1">
      <alignment horizontal="right"/>
    </xf>
    <xf numFmtId="14" fontId="2" fillId="0" borderId="0" xfId="0" applyNumberFormat="1" applyFont="1" applyProtection="1"/>
    <xf numFmtId="0" fontId="0" fillId="0" borderId="0" xfId="0" applyAlignment="1" applyProtection="1">
      <alignment horizontal="center"/>
    </xf>
    <xf numFmtId="0" fontId="2" fillId="0" borderId="0" xfId="0" applyFont="1" applyAlignment="1" applyProtection="1">
      <alignment horizontal="center" vertical="center"/>
    </xf>
    <xf numFmtId="14" fontId="2" fillId="0" borderId="0" xfId="0" applyNumberFormat="1" applyFont="1" applyAlignment="1" applyProtection="1">
      <alignment horizontal="center" vertical="center"/>
    </xf>
    <xf numFmtId="0" fontId="0" fillId="0" borderId="0" xfId="0" applyAlignment="1" applyProtection="1">
      <alignment horizontal="center" vertical="center"/>
    </xf>
    <xf numFmtId="14" fontId="0" fillId="0" borderId="0" xfId="0" applyNumberFormat="1" applyProtection="1"/>
    <xf numFmtId="16" fontId="0" fillId="0" borderId="0" xfId="0" applyNumberFormat="1" applyAlignment="1" applyProtection="1">
      <alignment horizontal="right"/>
    </xf>
    <xf numFmtId="0" fontId="0" fillId="0" borderId="0" xfId="0" applyFont="1" applyAlignment="1" applyProtection="1">
      <alignment horizontal="center"/>
    </xf>
    <xf numFmtId="0" fontId="0" fillId="0" borderId="0" xfId="0" applyFill="1" applyAlignment="1" applyProtection="1">
      <alignment horizontal="center"/>
    </xf>
    <xf numFmtId="0" fontId="1" fillId="0" borderId="0" xfId="0" applyFont="1" applyFill="1" applyAlignment="1" applyProtection="1">
      <alignment horizontal="right"/>
    </xf>
    <xf numFmtId="0" fontId="0" fillId="6" borderId="0" xfId="0" applyFill="1" applyAlignment="1" applyProtection="1">
      <alignment horizontal="center" vertical="center"/>
    </xf>
    <xf numFmtId="0" fontId="42" fillId="0" borderId="0" xfId="0" applyFont="1" applyFill="1" applyAlignment="1" applyProtection="1">
      <alignment horizontal="justify" vertical="center" wrapText="1" readingOrder="1"/>
    </xf>
    <xf numFmtId="0" fontId="0" fillId="0" borderId="0" xfId="0" applyBorder="1" applyAlignment="1" applyProtection="1">
      <alignment horizontal="right"/>
    </xf>
    <xf numFmtId="0" fontId="0" fillId="0" borderId="0" xfId="0" applyBorder="1" applyProtection="1"/>
    <xf numFmtId="177" fontId="0" fillId="0" borderId="0" xfId="0" applyNumberFormat="1" applyBorder="1" applyAlignment="1" applyProtection="1">
      <alignment horizontal="right"/>
    </xf>
    <xf numFmtId="14" fontId="0" fillId="0" borderId="0" xfId="0" applyNumberFormat="1" applyBorder="1" applyProtection="1"/>
    <xf numFmtId="0" fontId="0" fillId="0" borderId="0" xfId="0" applyBorder="1" applyAlignment="1" applyProtection="1">
      <alignment horizontal="center"/>
    </xf>
    <xf numFmtId="0" fontId="2" fillId="2" borderId="0" xfId="2" applyFont="1" applyFill="1" applyAlignment="1" applyProtection="1"/>
    <xf numFmtId="169" fontId="0" fillId="2" borderId="25" xfId="0" applyNumberFormat="1" applyFill="1" applyBorder="1" applyAlignment="1" applyProtection="1">
      <alignment horizontal="center" wrapText="1"/>
    </xf>
    <xf numFmtId="0" fontId="0" fillId="0" borderId="16" xfId="0" applyBorder="1" applyAlignment="1" applyProtection="1">
      <alignment vertical="center"/>
      <protection locked="0"/>
    </xf>
    <xf numFmtId="0" fontId="0" fillId="0" borderId="19" xfId="0" applyBorder="1" applyAlignment="1" applyProtection="1">
      <alignment vertical="center"/>
      <protection locked="0"/>
    </xf>
    <xf numFmtId="0" fontId="0" fillId="0" borderId="0" xfId="0" applyFill="1" applyBorder="1" applyAlignment="1" applyProtection="1">
      <alignment horizontal="center"/>
    </xf>
    <xf numFmtId="0" fontId="0" fillId="4" borderId="0" xfId="0" applyFill="1" applyBorder="1" applyAlignment="1" applyProtection="1">
      <alignment horizontal="left"/>
      <protection locked="0"/>
    </xf>
    <xf numFmtId="0" fontId="0" fillId="0" borderId="0" xfId="0" applyFill="1" applyBorder="1" applyAlignment="1" applyProtection="1">
      <alignment horizontal="left"/>
      <protection locked="0"/>
    </xf>
    <xf numFmtId="0" fontId="16" fillId="2" borderId="24" xfId="0" applyFont="1" applyFill="1" applyBorder="1" applyAlignment="1" applyProtection="1">
      <alignment horizontal="center"/>
    </xf>
    <xf numFmtId="0" fontId="16" fillId="2" borderId="28" xfId="0" applyFont="1" applyFill="1" applyBorder="1" applyAlignment="1" applyProtection="1">
      <alignment horizontal="center"/>
    </xf>
    <xf numFmtId="0" fontId="17" fillId="2" borderId="24" xfId="0" applyFont="1" applyFill="1" applyBorder="1" applyAlignment="1" applyProtection="1">
      <alignment horizontal="center" vertical="center"/>
    </xf>
    <xf numFmtId="0" fontId="14" fillId="2" borderId="0" xfId="0" applyNumberFormat="1" applyFont="1" applyFill="1" applyAlignment="1" applyProtection="1">
      <alignment horizontal="center"/>
      <protection locked="0"/>
    </xf>
    <xf numFmtId="0" fontId="17" fillId="2" borderId="24" xfId="0" applyFont="1" applyFill="1" applyBorder="1" applyAlignment="1" applyProtection="1">
      <alignment horizontal="center"/>
    </xf>
    <xf numFmtId="0" fontId="40" fillId="2" borderId="0" xfId="2" applyFill="1" applyAlignment="1" applyProtection="1">
      <alignment horizontal="left"/>
    </xf>
    <xf numFmtId="0" fontId="38" fillId="2" borderId="0" xfId="4" applyFont="1" applyFill="1" applyAlignment="1" applyProtection="1">
      <alignment horizontal="left"/>
    </xf>
    <xf numFmtId="0" fontId="0" fillId="0" borderId="0" xfId="0" applyFill="1" applyBorder="1" applyAlignment="1" applyProtection="1">
      <alignment horizontal="center"/>
    </xf>
    <xf numFmtId="0" fontId="31" fillId="7" borderId="0" xfId="0" applyNumberFormat="1" applyFont="1" applyFill="1" applyAlignment="1" applyProtection="1">
      <alignment horizontal="center"/>
    </xf>
    <xf numFmtId="0" fontId="31" fillId="7" borderId="0" xfId="0" applyFont="1" applyFill="1" applyAlignment="1" applyProtection="1">
      <alignment horizontal="center"/>
    </xf>
    <xf numFmtId="0" fontId="31" fillId="0" borderId="0" xfId="0" applyFont="1" applyProtection="1"/>
    <xf numFmtId="14" fontId="41" fillId="0" borderId="0" xfId="0" applyNumberFormat="1" applyFont="1" applyProtection="1"/>
    <xf numFmtId="0" fontId="2" fillId="0" borderId="0" xfId="0" applyFont="1" applyProtection="1"/>
    <xf numFmtId="0" fontId="42" fillId="0" borderId="0" xfId="0" applyFont="1" applyAlignment="1" applyProtection="1">
      <alignment horizontal="justify" vertical="center" wrapText="1" readingOrder="1"/>
    </xf>
    <xf numFmtId="0" fontId="43" fillId="0" borderId="0" xfId="0" applyFont="1" applyAlignment="1" applyProtection="1">
      <alignment horizontal="justify" vertical="center" wrapText="1" readingOrder="1"/>
    </xf>
    <xf numFmtId="0" fontId="2" fillId="0" borderId="0" xfId="0" applyNumberFormat="1" applyFont="1" applyProtection="1"/>
    <xf numFmtId="0" fontId="23" fillId="0" borderId="0" xfId="0" applyFont="1" applyAlignment="1" applyProtection="1">
      <alignment horizontal="left" vertical="center"/>
    </xf>
    <xf numFmtId="0" fontId="45" fillId="2" borderId="0" xfId="0" applyFont="1" applyFill="1" applyBorder="1" applyAlignment="1" applyProtection="1">
      <alignment horizontal="center" vertical="top"/>
    </xf>
    <xf numFmtId="0" fontId="40" fillId="0" borderId="0" xfId="2"/>
    <xf numFmtId="0" fontId="0" fillId="4" borderId="0" xfId="0" applyFill="1" applyBorder="1" applyAlignment="1" applyProtection="1">
      <alignment horizontal="left"/>
    </xf>
  </cellXfs>
  <cellStyles count="5">
    <cellStyle name="Besuchter Hyperlink" xfId="3" builtinId="9" customBuiltin="1"/>
    <cellStyle name="Link" xfId="2" builtinId="8" customBuiltin="1"/>
    <cellStyle name="Link 2" xfId="4"/>
    <cellStyle name="Standard" xfId="0" builtinId="0"/>
    <cellStyle name="Standard 2" xfId="1"/>
  </cellStyles>
  <dxfs count="19">
    <dxf>
      <fill>
        <patternFill>
          <bgColor theme="9" tint="0.79998168889431442"/>
        </patternFill>
      </fill>
    </dxf>
    <dxf>
      <font>
        <color theme="0"/>
      </font>
    </dxf>
    <dxf>
      <fill>
        <patternFill>
          <bgColor theme="9" tint="0.79998168889431442"/>
        </patternFill>
      </fill>
    </dxf>
    <dxf>
      <font>
        <color theme="0"/>
      </font>
    </dxf>
    <dxf>
      <fill>
        <patternFill>
          <bgColor theme="9" tint="0.79998168889431442"/>
        </patternFill>
      </fill>
    </dxf>
    <dxf>
      <font>
        <color theme="0"/>
      </font>
    </dxf>
    <dxf>
      <font>
        <color theme="9" tint="0.79998168889431442"/>
      </font>
    </dxf>
    <dxf>
      <font>
        <color theme="9" tint="0.79998168889431442"/>
      </font>
    </dxf>
    <dxf>
      <font>
        <color theme="9" tint="0.79998168889431442"/>
      </font>
    </dxf>
    <dxf>
      <font>
        <color theme="9" tint="0.79998168889431442"/>
      </font>
    </dxf>
    <dxf>
      <font>
        <color theme="9" tint="0.79998168889431442"/>
      </font>
    </dxf>
    <dxf>
      <fill>
        <patternFill>
          <bgColor theme="9" tint="0.79998168889431442"/>
        </patternFill>
      </fill>
    </dxf>
    <dxf>
      <font>
        <color theme="9" tint="0.79998168889431442"/>
      </font>
    </dxf>
    <dxf>
      <font>
        <color theme="9" tint="0.79998168889431442"/>
      </font>
    </dxf>
    <dxf>
      <font>
        <color theme="9" tint="0.79998168889431442"/>
      </font>
    </dxf>
    <dxf>
      <font>
        <color theme="9" tint="0.79998168889431442"/>
      </font>
    </dxf>
    <dxf>
      <font>
        <color theme="9" tint="0.79998168889431442"/>
      </font>
    </dxf>
    <dxf>
      <fill>
        <patternFill>
          <bgColor theme="9" tint="0.79998168889431442"/>
        </patternFill>
      </fill>
    </dxf>
    <dxf>
      <font>
        <color theme="9" tint="0.79998168889431442"/>
      </font>
    </dxf>
  </dxfs>
  <tableStyles count="0" defaultTableStyle="TableStyleMedium2" defaultPivotStyle="PivotStyleLight16"/>
  <colors>
    <mruColors>
      <color rgb="FFF5F8F2"/>
      <color rgb="FFF9F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Vorgaben!A1"/><Relationship Id="rId2" Type="http://schemas.openxmlformats.org/officeDocument/2006/relationships/image" Target="../media/image1.jpeg"/><Relationship Id="rId1" Type="http://schemas.openxmlformats.org/officeDocument/2006/relationships/hyperlink" Target="https://www.controllerspielwiese.de/"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Vorgaben!A1"/><Relationship Id="rId2" Type="http://schemas.openxmlformats.org/officeDocument/2006/relationships/image" Target="../media/image1.jpeg"/><Relationship Id="rId1" Type="http://schemas.openxmlformats.org/officeDocument/2006/relationships/hyperlink" Target="https://www.controllerspielwiese.de/"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Erstens"/><Relationship Id="rId2" Type="http://schemas.openxmlformats.org/officeDocument/2006/relationships/image" Target="../media/image1.jpeg"/><Relationship Id="rId1" Type="http://schemas.openxmlformats.org/officeDocument/2006/relationships/hyperlink" Target="https://www.controllerspielwiese.de/"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www.controllerspielwiese.de/" TargetMode="External"/></Relationships>
</file>

<file path=xl/drawings/drawing1.xml><?xml version="1.0" encoding="utf-8"?>
<xdr:wsDr xmlns:xdr="http://schemas.openxmlformats.org/drawingml/2006/spreadsheetDrawing" xmlns:a="http://schemas.openxmlformats.org/drawingml/2006/main">
  <xdr:twoCellAnchor>
    <xdr:from>
      <xdr:col>23</xdr:col>
      <xdr:colOff>0</xdr:colOff>
      <xdr:row>1</xdr:row>
      <xdr:rowOff>28575</xdr:rowOff>
    </xdr:from>
    <xdr:to>
      <xdr:col>24</xdr:col>
      <xdr:colOff>146052</xdr:colOff>
      <xdr:row>3</xdr:row>
      <xdr:rowOff>70388</xdr:rowOff>
    </xdr:to>
    <xdr:pic>
      <xdr:nvPicPr>
        <xdr:cNvPr id="2" name="Grafik 1" descr="ControllerSpielwiese.de">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944225" y="95250"/>
          <a:ext cx="1631952" cy="3180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23</xdr:col>
      <xdr:colOff>161924</xdr:colOff>
      <xdr:row>4</xdr:row>
      <xdr:rowOff>9525</xdr:rowOff>
    </xdr:from>
    <xdr:to>
      <xdr:col>24</xdr:col>
      <xdr:colOff>18824</xdr:colOff>
      <xdr:row>5</xdr:row>
      <xdr:rowOff>63627</xdr:rowOff>
    </xdr:to>
    <xdr:sp macro="" textlink="">
      <xdr:nvSpPr>
        <xdr:cNvPr id="4" name="Textfeld 3">
          <a:hlinkClick xmlns:r="http://schemas.openxmlformats.org/officeDocument/2006/relationships" r:id="rId3"/>
          <a:extLst>
            <a:ext uri="{FF2B5EF4-FFF2-40B4-BE49-F238E27FC236}">
              <a16:creationId xmlns:a16="http://schemas.microsoft.com/office/drawing/2014/main" id="{00000000-0008-0000-0200-000007000000}"/>
            </a:ext>
          </a:extLst>
        </xdr:cNvPr>
        <xdr:cNvSpPr txBox="1">
          <a:spLocks/>
        </xdr:cNvSpPr>
      </xdr:nvSpPr>
      <xdr:spPr>
        <a:xfrm>
          <a:off x="11106149" y="542925"/>
          <a:ext cx="1342800" cy="244602"/>
        </a:xfrm>
        <a:prstGeom prst="rect">
          <a:avLst/>
        </a:prstGeom>
        <a:solidFill>
          <a:schemeClr val="accent6">
            <a:lumMod val="40000"/>
            <a:lumOff val="60000"/>
          </a:schemeClr>
        </a:solidFill>
        <a:ln w="9525" cmpd="sng">
          <a:solidFill>
            <a:schemeClr val="lt1">
              <a:shade val="50000"/>
              <a:alpha val="99000"/>
            </a:schemeClr>
          </a:solidFill>
        </a:ln>
        <a:effectLst>
          <a:outerShdw dist="38100" dir="2700000" algn="tl" rotWithShape="0">
            <a:schemeClr val="accent6">
              <a:lumMod val="50000"/>
              <a:alpha val="40000"/>
            </a:scheme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solidFill>
                <a:schemeClr val="tx1">
                  <a:lumMod val="75000"/>
                  <a:lumOff val="25000"/>
                </a:schemeClr>
              </a:solidFill>
            </a:rPr>
            <a:t>Vorgabewerte ...</a:t>
          </a:r>
        </a:p>
      </xdr:txBody>
    </xdr:sp>
    <xdr:clientData/>
  </xdr:twoCellAnchor>
  <xdr:twoCellAnchor>
    <xdr:from>
      <xdr:col>23</xdr:col>
      <xdr:colOff>161925</xdr:colOff>
      <xdr:row>5</xdr:row>
      <xdr:rowOff>142875</xdr:rowOff>
    </xdr:from>
    <xdr:to>
      <xdr:col>24</xdr:col>
      <xdr:colOff>18825</xdr:colOff>
      <xdr:row>7</xdr:row>
      <xdr:rowOff>6477</xdr:rowOff>
    </xdr:to>
    <xdr:sp macro="" textlink="">
      <xdr:nvSpPr>
        <xdr:cNvPr id="5" name="Textfeld 4">
          <a:hlinkClick xmlns:r="http://schemas.openxmlformats.org/officeDocument/2006/relationships" r:id="rId3"/>
          <a:extLst>
            <a:ext uri="{FF2B5EF4-FFF2-40B4-BE49-F238E27FC236}">
              <a16:creationId xmlns:a16="http://schemas.microsoft.com/office/drawing/2014/main" id="{00000000-0008-0000-0200-000007000000}"/>
            </a:ext>
          </a:extLst>
        </xdr:cNvPr>
        <xdr:cNvSpPr txBox="1">
          <a:spLocks/>
        </xdr:cNvSpPr>
      </xdr:nvSpPr>
      <xdr:spPr>
        <a:xfrm>
          <a:off x="11106150" y="866775"/>
          <a:ext cx="1342800" cy="244602"/>
        </a:xfrm>
        <a:prstGeom prst="rect">
          <a:avLst/>
        </a:prstGeom>
        <a:solidFill>
          <a:schemeClr val="accent6">
            <a:lumMod val="40000"/>
            <a:lumOff val="60000"/>
          </a:schemeClr>
        </a:solidFill>
        <a:ln w="9525" cmpd="sng">
          <a:solidFill>
            <a:schemeClr val="lt1">
              <a:shade val="50000"/>
              <a:alpha val="99000"/>
            </a:schemeClr>
          </a:solidFill>
        </a:ln>
        <a:effectLst>
          <a:outerShdw dist="38100" dir="2700000" algn="tl" rotWithShape="0">
            <a:schemeClr val="accent6">
              <a:lumMod val="50000"/>
              <a:alpha val="40000"/>
            </a:scheme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solidFill>
                <a:schemeClr val="tx1">
                  <a:lumMod val="75000"/>
                  <a:lumOff val="25000"/>
                </a:schemeClr>
              </a:solidFill>
            </a:rPr>
            <a:t>Anwendungshilfe</a:t>
          </a:r>
          <a:r>
            <a:rPr lang="de-DE" sz="1100" b="1" baseline="0">
              <a:solidFill>
                <a:schemeClr val="tx1">
                  <a:lumMod val="75000"/>
                  <a:lumOff val="25000"/>
                </a:schemeClr>
              </a:solidFill>
            </a:rPr>
            <a:t> ...</a:t>
          </a:r>
          <a:endParaRPr lang="de-DE" sz="1100" b="1">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0</xdr:colOff>
      <xdr:row>1</xdr:row>
      <xdr:rowOff>28575</xdr:rowOff>
    </xdr:from>
    <xdr:to>
      <xdr:col>24</xdr:col>
      <xdr:colOff>146052</xdr:colOff>
      <xdr:row>3</xdr:row>
      <xdr:rowOff>70388</xdr:rowOff>
    </xdr:to>
    <xdr:pic>
      <xdr:nvPicPr>
        <xdr:cNvPr id="2" name="Grafik 1" descr="ControllerSpielwiese.de">
          <a:hlinkClick xmlns:r="http://schemas.openxmlformats.org/officeDocument/2006/relationships" r:id="rId1"/>
          <a:extLst>
            <a:ext uri="{FF2B5EF4-FFF2-40B4-BE49-F238E27FC236}">
              <a16:creationId xmlns:a16="http://schemas.microsoft.com/office/drawing/2014/main" id="{0BF5A81C-4067-4FE4-B82C-DEB3AAE9A9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944225" y="95250"/>
          <a:ext cx="1631952" cy="3180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23</xdr:col>
      <xdr:colOff>152400</xdr:colOff>
      <xdr:row>4</xdr:row>
      <xdr:rowOff>9525</xdr:rowOff>
    </xdr:from>
    <xdr:to>
      <xdr:col>24</xdr:col>
      <xdr:colOff>9300</xdr:colOff>
      <xdr:row>5</xdr:row>
      <xdr:rowOff>63627</xdr:rowOff>
    </xdr:to>
    <xdr:sp macro="" textlink="">
      <xdr:nvSpPr>
        <xdr:cNvPr id="3" name="Textfeld 2">
          <a:hlinkClick xmlns:r="http://schemas.openxmlformats.org/officeDocument/2006/relationships" r:id="rId3"/>
          <a:extLst>
            <a:ext uri="{FF2B5EF4-FFF2-40B4-BE49-F238E27FC236}">
              <a16:creationId xmlns:a16="http://schemas.microsoft.com/office/drawing/2014/main" id="{00000000-0008-0000-0200-000007000000}"/>
            </a:ext>
          </a:extLst>
        </xdr:cNvPr>
        <xdr:cNvSpPr txBox="1">
          <a:spLocks/>
        </xdr:cNvSpPr>
      </xdr:nvSpPr>
      <xdr:spPr>
        <a:xfrm>
          <a:off x="11096625" y="542925"/>
          <a:ext cx="1342800" cy="244602"/>
        </a:xfrm>
        <a:prstGeom prst="rect">
          <a:avLst/>
        </a:prstGeom>
        <a:solidFill>
          <a:schemeClr val="accent6">
            <a:lumMod val="40000"/>
            <a:lumOff val="60000"/>
          </a:schemeClr>
        </a:solidFill>
        <a:ln w="9525" cmpd="sng">
          <a:solidFill>
            <a:schemeClr val="lt1">
              <a:shade val="50000"/>
              <a:alpha val="99000"/>
            </a:schemeClr>
          </a:solidFill>
        </a:ln>
        <a:effectLst>
          <a:outerShdw dist="38100" dir="2700000" algn="tl" rotWithShape="0">
            <a:schemeClr val="accent6">
              <a:lumMod val="50000"/>
              <a:alpha val="40000"/>
            </a:scheme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solidFill>
                <a:schemeClr val="tx1">
                  <a:lumMod val="75000"/>
                  <a:lumOff val="25000"/>
                </a:schemeClr>
              </a:solidFill>
            </a:rPr>
            <a:t>Vorgabewerte ...</a:t>
          </a:r>
        </a:p>
      </xdr:txBody>
    </xdr:sp>
    <xdr:clientData/>
  </xdr:twoCellAnchor>
  <xdr:twoCellAnchor>
    <xdr:from>
      <xdr:col>23</xdr:col>
      <xdr:colOff>152401</xdr:colOff>
      <xdr:row>5</xdr:row>
      <xdr:rowOff>142875</xdr:rowOff>
    </xdr:from>
    <xdr:to>
      <xdr:col>24</xdr:col>
      <xdr:colOff>9301</xdr:colOff>
      <xdr:row>7</xdr:row>
      <xdr:rowOff>6477</xdr:rowOff>
    </xdr:to>
    <xdr:sp macro="" textlink="">
      <xdr:nvSpPr>
        <xdr:cNvPr id="4" name="Textfeld 3">
          <a:hlinkClick xmlns:r="http://schemas.openxmlformats.org/officeDocument/2006/relationships" r:id="rId3"/>
          <a:extLst>
            <a:ext uri="{FF2B5EF4-FFF2-40B4-BE49-F238E27FC236}">
              <a16:creationId xmlns:a16="http://schemas.microsoft.com/office/drawing/2014/main" id="{00000000-0008-0000-0200-000007000000}"/>
            </a:ext>
          </a:extLst>
        </xdr:cNvPr>
        <xdr:cNvSpPr txBox="1">
          <a:spLocks/>
        </xdr:cNvSpPr>
      </xdr:nvSpPr>
      <xdr:spPr>
        <a:xfrm>
          <a:off x="11096626" y="866775"/>
          <a:ext cx="1342800" cy="244602"/>
        </a:xfrm>
        <a:prstGeom prst="rect">
          <a:avLst/>
        </a:prstGeom>
        <a:solidFill>
          <a:schemeClr val="accent6">
            <a:lumMod val="40000"/>
            <a:lumOff val="60000"/>
          </a:schemeClr>
        </a:solidFill>
        <a:ln w="9525" cmpd="sng">
          <a:solidFill>
            <a:schemeClr val="lt1">
              <a:shade val="50000"/>
              <a:alpha val="99000"/>
            </a:schemeClr>
          </a:solidFill>
        </a:ln>
        <a:effectLst>
          <a:outerShdw dist="38100" dir="2700000" algn="tl" rotWithShape="0">
            <a:schemeClr val="accent6">
              <a:lumMod val="50000"/>
              <a:alpha val="40000"/>
            </a:scheme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solidFill>
                <a:schemeClr val="tx1">
                  <a:lumMod val="75000"/>
                  <a:lumOff val="25000"/>
                </a:schemeClr>
              </a:solidFill>
            </a:rPr>
            <a:t>Anwendungshilfe</a:t>
          </a:r>
          <a:r>
            <a:rPr lang="de-DE" sz="1100" b="1" baseline="0">
              <a:solidFill>
                <a:schemeClr val="tx1">
                  <a:lumMod val="75000"/>
                  <a:lumOff val="25000"/>
                </a:schemeClr>
              </a:solidFill>
            </a:rPr>
            <a:t> ...</a:t>
          </a:r>
          <a:endParaRPr lang="de-DE" sz="1100" b="1">
            <a:solidFill>
              <a:schemeClr val="tx1">
                <a:lumMod val="75000"/>
                <a:lumOff val="2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xdr:row>
      <xdr:rowOff>66675</xdr:rowOff>
    </xdr:from>
    <xdr:to>
      <xdr:col>9</xdr:col>
      <xdr:colOff>704850</xdr:colOff>
      <xdr:row>3</xdr:row>
      <xdr:rowOff>123824</xdr:rowOff>
    </xdr:to>
    <xdr:pic>
      <xdr:nvPicPr>
        <xdr:cNvPr id="2" name="Grafik 2" descr="ControllerSpielwiese.de">
          <a:hlinkClick xmlns:r="http://schemas.openxmlformats.org/officeDocument/2006/relationships" r:id="rId1"/>
          <a:extLst>
            <a:ext uri="{FF2B5EF4-FFF2-40B4-BE49-F238E27FC236}">
              <a16:creationId xmlns:a16="http://schemas.microsoft.com/office/drawing/2014/main" id="{00000000-0008-0000-0C00-000086F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29375" y="133350"/>
          <a:ext cx="2857500" cy="514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xdr:col>
      <xdr:colOff>180975</xdr:colOff>
      <xdr:row>187</xdr:row>
      <xdr:rowOff>19049</xdr:rowOff>
    </xdr:from>
    <xdr:to>
      <xdr:col>9</xdr:col>
      <xdr:colOff>676275</xdr:colOff>
      <xdr:row>258</xdr:row>
      <xdr:rowOff>57150</xdr:rowOff>
    </xdr:to>
    <xdr:sp macro="" textlink="">
      <xdr:nvSpPr>
        <xdr:cNvPr id="3" name="Textfeld 2">
          <a:extLst>
            <a:ext uri="{FF2B5EF4-FFF2-40B4-BE49-F238E27FC236}">
              <a16:creationId xmlns:a16="http://schemas.microsoft.com/office/drawing/2014/main" id="{00000000-0008-0000-0C00-000003000000}"/>
            </a:ext>
          </a:extLst>
        </xdr:cNvPr>
        <xdr:cNvSpPr txBox="1"/>
      </xdr:nvSpPr>
      <xdr:spPr>
        <a:xfrm>
          <a:off x="257175" y="34680524"/>
          <a:ext cx="9001125" cy="1356360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rIns="72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DE" sz="1200" b="1">
              <a:solidFill>
                <a:schemeClr val="tx1"/>
              </a:solidFill>
            </a:rPr>
            <a:t>Rechtlicher Hintergrund:</a:t>
          </a:r>
        </a:p>
        <a:p>
          <a:pPr marL="0" marR="0" lvl="0" indent="0" defTabSz="914400" eaLnBrk="1" fontAlgn="auto" latinLnBrk="0" hangingPunct="1">
            <a:lnSpc>
              <a:spcPct val="100000"/>
            </a:lnSpc>
            <a:spcBef>
              <a:spcPts val="0"/>
            </a:spcBef>
            <a:spcAft>
              <a:spcPts val="0"/>
            </a:spcAft>
            <a:buClrTx/>
            <a:buSzTx/>
            <a:buFontTx/>
            <a:buNone/>
            <a:tabLst/>
            <a:defRPr/>
          </a:pPr>
          <a:endParaRPr lang="de-DE" sz="12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a:solidFill>
                <a:schemeClr val="tx1"/>
              </a:solidFill>
            </a:rPr>
            <a:t>Als Arbeitgeber</a:t>
          </a:r>
          <a:r>
            <a:rPr lang="de-DE" sz="1200" baseline="0">
              <a:solidFill>
                <a:schemeClr val="tx1"/>
              </a:solidFill>
            </a:rPr>
            <a:t> haben Sie aufgrund eines EuGH-Urteils aus 2019 die Pflicht, </a:t>
          </a:r>
          <a:r>
            <a:rPr lang="de-DE" sz="1200" baseline="0">
              <a:solidFill>
                <a:schemeClr val="tx1"/>
              </a:solidFill>
              <a:effectLst/>
              <a:latin typeface="+mn-lt"/>
              <a:ea typeface="+mn-ea"/>
              <a:cs typeface="+mn-cs"/>
            </a:rPr>
            <a:t>die Arbeitszeiten </a:t>
          </a:r>
          <a:r>
            <a:rPr lang="de-DE" sz="1200" baseline="0">
              <a:solidFill>
                <a:schemeClr val="dk1"/>
              </a:solidFill>
              <a:effectLst/>
              <a:latin typeface="+mn-lt"/>
              <a:ea typeface="+mn-ea"/>
              <a:cs typeface="+mn-cs"/>
            </a:rPr>
            <a:t>ihrer Mitarbeitenden vollständig und korrekt zu erfassen. </a:t>
          </a:r>
          <a:r>
            <a:rPr lang="de-DE" sz="1200" b="0" i="0">
              <a:solidFill>
                <a:schemeClr val="dk1"/>
              </a:solidFill>
              <a:effectLst/>
              <a:latin typeface="+mn-lt"/>
              <a:ea typeface="+mn-ea"/>
              <a:cs typeface="+mn-cs"/>
            </a:rPr>
            <a:t>Arbeitgeber in der EU müssen ein objektives, verlässliches und zugängliches System zur Erfassung der Arbeitszeit bereitstellen. Im Jahr 2022 bestätigte das Bundesarbeitsgericht (BAG) diese Verpflichtung und betonte, dass die Vorschriften des Arbeitsschutzgesetzes für alle Beschäftigten uneingeschränkt gelten. Es ist somit e</a:t>
          </a:r>
          <a:r>
            <a:rPr lang="de-DE" sz="1200" b="0" baseline="0">
              <a:solidFill>
                <a:schemeClr val="dk1"/>
              </a:solidFill>
              <a:effectLst/>
              <a:latin typeface="+mn-lt"/>
              <a:ea typeface="+mn-ea"/>
              <a:cs typeface="+mn-cs"/>
            </a:rPr>
            <a:t>ine t</a:t>
          </a:r>
          <a:r>
            <a:rPr lang="de-DE" sz="1200" b="0" i="0">
              <a:solidFill>
                <a:schemeClr val="dk1"/>
              </a:solidFill>
              <a:effectLst/>
              <a:latin typeface="+mn-lt"/>
              <a:ea typeface="+mn-ea"/>
              <a:cs typeface="+mn-cs"/>
            </a:rPr>
            <a:t>ransparente Dokumentation der Arbeitszeiten vorgeschrieben</a:t>
          </a:r>
          <a:r>
            <a:rPr lang="de-DE" sz="1200" b="1" i="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de-DE" sz="12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1" i="0">
              <a:solidFill>
                <a:schemeClr val="dk1"/>
              </a:solidFill>
              <a:effectLst/>
              <a:latin typeface="+mn-lt"/>
              <a:ea typeface="+mn-ea"/>
              <a:cs typeface="+mn-cs"/>
            </a:rPr>
            <a:t>Aber: Ein deutsches Gesetz zur Zeiterfassung steht noch aus</a:t>
          </a:r>
        </a:p>
        <a:p>
          <a:pPr marL="0" marR="0" lvl="0" indent="0" defTabSz="914400" eaLnBrk="1" fontAlgn="auto" latinLnBrk="0" hangingPunct="1">
            <a:lnSpc>
              <a:spcPct val="100000"/>
            </a:lnSpc>
            <a:spcBef>
              <a:spcPts val="0"/>
            </a:spcBef>
            <a:spcAft>
              <a:spcPts val="0"/>
            </a:spcAft>
            <a:buClrTx/>
            <a:buSzTx/>
            <a:buFontTx/>
            <a:buNone/>
            <a:tabLst/>
            <a:defRPr/>
          </a:pPr>
          <a:endParaRPr lang="de-DE" sz="1200" b="1" i="0" baseline="0">
            <a:solidFill>
              <a:schemeClr val="dk1"/>
            </a:solidFill>
            <a:effectLst/>
            <a:latin typeface="+mn-lt"/>
            <a:ea typeface="+mn-ea"/>
            <a:cs typeface="+mn-cs"/>
          </a:endParaRPr>
        </a:p>
        <a:p>
          <a:r>
            <a:rPr lang="de-DE" sz="1200" b="0" i="0">
              <a:solidFill>
                <a:schemeClr val="dk1"/>
              </a:solidFill>
              <a:effectLst/>
              <a:latin typeface="+mn-lt"/>
              <a:ea typeface="+mn-ea"/>
              <a:cs typeface="+mn-cs"/>
            </a:rPr>
            <a:t>Auch wenn die formale Umsetzung ins deutsche Arbeitsrecht derzeit also noch aussteht, sind Unternehmen doch bereits jetzt schon dazu verpflichtet, die geleisteten Arbeitsstunden zu dokumentieren und die gesetzlich vorgeschriebenen Höchstarbeitszeiten und Ruhezeiten einzuhalten.</a:t>
          </a:r>
        </a:p>
        <a:p>
          <a:endParaRPr lang="de-DE" sz="1200" b="0" i="0">
            <a:solidFill>
              <a:srgbClr val="FF0000"/>
            </a:solidFill>
            <a:effectLst/>
            <a:latin typeface="+mn-lt"/>
            <a:ea typeface="+mn-ea"/>
            <a:cs typeface="+mn-cs"/>
          </a:endParaRPr>
        </a:p>
        <a:p>
          <a:endParaRPr lang="de-DE" sz="1200" b="0" i="0">
            <a:solidFill>
              <a:srgbClr val="FF0000"/>
            </a:solidFill>
            <a:effectLst/>
            <a:latin typeface="+mn-lt"/>
            <a:ea typeface="+mn-ea"/>
            <a:cs typeface="+mn-cs"/>
          </a:endParaRPr>
        </a:p>
        <a:p>
          <a:endParaRPr lang="de-DE" sz="1200" b="0" i="0">
            <a:solidFill>
              <a:srgbClr val="FF0000"/>
            </a:solidFill>
            <a:effectLst/>
            <a:latin typeface="+mn-lt"/>
            <a:ea typeface="+mn-ea"/>
            <a:cs typeface="+mn-cs"/>
          </a:endParaRPr>
        </a:p>
        <a:p>
          <a:r>
            <a:rPr lang="de-DE" sz="1200" b="0" i="0">
              <a:solidFill>
                <a:srgbClr val="FF0000"/>
              </a:solidFill>
              <a:effectLst/>
              <a:latin typeface="+mn-lt"/>
              <a:ea typeface="+mn-ea"/>
              <a:cs typeface="+mn-cs"/>
            </a:rPr>
            <a:t>Weitere Informationen finden Sie in der Premium-Version ...</a:t>
          </a:r>
          <a:endParaRPr lang="de-DE" sz="1200" b="0">
            <a:solidFill>
              <a:srgbClr val="FF0000"/>
            </a:solidFill>
            <a:effectLst/>
          </a:endParaRPr>
        </a:p>
        <a:p>
          <a:endParaRPr lang="de-DE" sz="1200"/>
        </a:p>
      </xdr:txBody>
    </xdr:sp>
    <xdr:clientData/>
  </xdr:twoCellAnchor>
  <xdr:twoCellAnchor>
    <xdr:from>
      <xdr:col>1</xdr:col>
      <xdr:colOff>180975</xdr:colOff>
      <xdr:row>91</xdr:row>
      <xdr:rowOff>19052</xdr:rowOff>
    </xdr:from>
    <xdr:to>
      <xdr:col>9</xdr:col>
      <xdr:colOff>676275</xdr:colOff>
      <xdr:row>137</xdr:row>
      <xdr:rowOff>38100</xdr:rowOff>
    </xdr:to>
    <xdr:sp macro="" textlink="">
      <xdr:nvSpPr>
        <xdr:cNvPr id="4" name="Textfeld 3">
          <a:extLst>
            <a:ext uri="{FF2B5EF4-FFF2-40B4-BE49-F238E27FC236}">
              <a16:creationId xmlns:a16="http://schemas.microsoft.com/office/drawing/2014/main" id="{00000000-0008-0000-0C00-000004000000}"/>
            </a:ext>
          </a:extLst>
        </xdr:cNvPr>
        <xdr:cNvSpPr txBox="1"/>
      </xdr:nvSpPr>
      <xdr:spPr>
        <a:xfrm>
          <a:off x="257175" y="17354552"/>
          <a:ext cx="9001125" cy="8782048"/>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rIns="72000" rtlCol="0" anchor="t"/>
        <a:lstStyle/>
        <a:p>
          <a:r>
            <a:rPr lang="de-DE" sz="1200" b="0" i="0" u="none" strike="noStrike">
              <a:solidFill>
                <a:schemeClr val="tx1"/>
              </a:solidFill>
              <a:effectLst/>
              <a:latin typeface="+mn-lt"/>
              <a:ea typeface="+mn-ea"/>
              <a:cs typeface="+mn-cs"/>
            </a:rPr>
            <a:t>Für die erste Nutzung der Arbeitszeiterfassung</a:t>
          </a:r>
          <a:r>
            <a:rPr lang="de-DE" sz="1200" b="0" i="0" u="none" strike="noStrike" baseline="0">
              <a:solidFill>
                <a:schemeClr val="tx1"/>
              </a:solidFill>
              <a:effectLst/>
              <a:latin typeface="+mn-lt"/>
              <a:ea typeface="+mn-ea"/>
              <a:cs typeface="+mn-cs"/>
            </a:rPr>
            <a:t> geben Sie zuerst in dem Tabellenblatt "Vorgaben" die notwendigen Stammdaten an. </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Dies sind der Name, die Abteilung und die Personalnummer des Mitarbeitenden. Ein zusätzliches Kriterium kann in das Feld "frei" aufgenommen werden und die Beschreibung "frei:" überschrieben werden. Diese Daten werden automatisch in sämtliche Zeiterfassungsblätter übernommen.</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Das Kalenderjahr ist zwingend für die richtige Darstellung der Wochentage einzugeben; das Bundesland für die Feiertagsberechnung.</a:t>
          </a:r>
        </a:p>
        <a:p>
          <a:r>
            <a:rPr lang="de-DE" sz="1200" b="0" i="0" u="none" strike="noStrike" baseline="0">
              <a:solidFill>
                <a:schemeClr val="tx1"/>
              </a:solidFill>
              <a:effectLst/>
              <a:latin typeface="+mn-lt"/>
              <a:ea typeface="+mn-ea"/>
              <a:cs typeface="+mn-cs"/>
            </a:rPr>
            <a:t>Der Urlaubsanspruch, ggfs. ein Rest-Urlaub aus dem Vorjahr sowie ein evtl. vorhandenes Zeitguthaben aus dem Vorjahr können ebenso eingegeben werden. Diese Werte rechnen dann durch die Monatsblätter und werden in der Zusammenfassung mit aufaddiert. Das Zeitguthaben muss als Dezimalzahl eingegeben werden. Für die Umrechnung aus der Minutenschreibweise steht ein extra Berechnungsfeld unter dem Eingabefeld zur Verfügung, der berechnete Dezimalwert ist dann in das Feld einzutragen.</a:t>
          </a:r>
        </a:p>
        <a:p>
          <a:endParaRPr lang="de-DE" sz="1200" b="0" i="0" u="none" strike="noStrike">
            <a:solidFill>
              <a:schemeClr val="tx1"/>
            </a:solidFill>
            <a:effectLst/>
            <a:latin typeface="+mn-lt"/>
            <a:ea typeface="+mn-ea"/>
            <a:cs typeface="+mn-cs"/>
          </a:endParaRPr>
        </a:p>
        <a:p>
          <a:r>
            <a:rPr lang="de-DE" sz="1200" b="0" i="0" u="none" strike="noStrike">
              <a:solidFill>
                <a:schemeClr val="tx1"/>
              </a:solidFill>
              <a:effectLst/>
              <a:latin typeface="+mn-lt"/>
              <a:ea typeface="+mn-ea"/>
              <a:cs typeface="+mn-cs"/>
            </a:rPr>
            <a:t>Um die Sollstunden für</a:t>
          </a:r>
          <a:r>
            <a:rPr lang="de-DE" sz="1200" b="0" i="0" u="none" strike="noStrike" baseline="0">
              <a:solidFill>
                <a:schemeClr val="tx1"/>
              </a:solidFill>
              <a:effectLst/>
              <a:latin typeface="+mn-lt"/>
              <a:ea typeface="+mn-ea"/>
              <a:cs typeface="+mn-cs"/>
            </a:rPr>
            <a:t> die Zeiterfassung berechnen zu können, wird ein Wochenplan mit den Soll-Stunden für jeden Arbeitstag hinterlegt, damit die Arbeitstage bei den Kalendertagen bezeichnet werden können. Für Tage, an denen keine Soll-Arbeitszeit hinterlegt ist, können trotzdem in der monatlichen Erfassung Stunden eingegeben werden (z.B. Samstage). Für diese Tage errechnet sich kein Soll-Wert, die Ist-Zeit wird jedoch gemäß der Eingaben in den hellgründen Feldern berechnet. Dies bedeutet, dass in diesem Fall die Felder für die Eingabe von Beginn und Ende nicht weiß sondern hell-grün sind.</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Für die eigentliche Zeiterfassung ist für jeden Monat ein Tabellenblatt vorbereitet. Der in F3 eingegebene Monat bestimmt zusammen mit dem Jahr aus dem Tabellenblatt "Vorgaben" die Wochentage. Die Monatskalender aktualisieren sich daraufhin automatisch.</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Beginn und Ende der Arbeitszeit sind im Zeitformat "08:00" einzugeben. Es können in der Premiumversion bis zu vier tägliche Arbeitsblöcke eigegeben werden und somit mehrere auch kurze Unterbrechungen berücksichtigt werden. Die Pausen zwischen den Blöcken errechnen sich automatisch und auch die Berechnung der täglichen gesetzlich vorgeschriebenen Pausen erfolgt automatisch unter Anrechnung der evtl. bereits zwischen den einzelnen Blöcken errechneten Pausen. Weitere Hinweise zu der eingestellten Pausenberechnung und den gesetzlichen Vorgaben lesen Sie unter Punkt 4.</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Abwesenheit bei Urlaub, Krank, Fortbildung oder Feiertag können über ein Auswahlfeld eingegeben werden. Für diese Kriterien werden jeweils die Sollzeiten aus dem Wochenplan angerechnet. Das Kriterium Sonst. Fehlzeit kann für unbezahlte Fehlzeiten genutzt werden, es wird hierbei keine Sollzeit gerechnet.  </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Zusätzliche, rein informative Hinweise können in der Spalte Bemerkungen eingetragen werden. </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Die Zeiterfassung berechnet für jeden Monat automatisch die tatsächlich geleistete Arbeitszeit und vergleicht diese mit den voreingestellten Soll-Zeiten. So entsteht an jedem Monatsende ein Saldo, der in das Tabellenblatt mit dem Folgemonat übertragen wird. In den Kopfdaten der Monatsblätter werden zwei Salden geführt: Der Saldo, der aufgrund der bereits bis zum Monatsende gerechneten Soll-Zeiten entsteht sowie der Saldo, der nur die Differenzen zwischen den bereits erfassten Ist-Zeiten und zugehörigen Soll-Zeiten berücksichtigt. Weiterhin wird der Monatssaldo zusammen mit den Urlaubs- und Fehltagen in die Zusammenfassung im Tabellenblatt Vorgaben übergeben.</a:t>
          </a:r>
        </a:p>
        <a:p>
          <a:endParaRPr lang="de-DE" sz="1200" b="0" i="0" u="none" strike="noStrike" baseline="0">
            <a:solidFill>
              <a:schemeClr val="tx1"/>
            </a:solidFill>
            <a:effectLst/>
            <a:latin typeface="+mn-lt"/>
            <a:ea typeface="+mn-ea"/>
            <a:cs typeface="+mn-cs"/>
          </a:endParaRPr>
        </a:p>
        <a:p>
          <a:r>
            <a:rPr lang="de-DE" sz="1200" b="0" i="0" u="none" strike="noStrike" baseline="0">
              <a:solidFill>
                <a:schemeClr val="tx1"/>
              </a:solidFill>
              <a:effectLst/>
              <a:latin typeface="+mn-lt"/>
              <a:ea typeface="+mn-ea"/>
              <a:cs typeface="+mn-cs"/>
            </a:rPr>
            <a:t>Wird von den in den Vorgaben angebenen Wochenarbeitszeiten abgewichen, also z.B. auf einem eigentlich freien Tag gearbeitet, ist die Eingabe der Ist-Zeit dennoch möglich. Die Eingabefelder sind lediglich hellgrün dargestellt, Eingaben werden aber weiterverrechnet. Soll-Zeiten sind in diesem Fall nicht vorhanden.</a:t>
          </a:r>
        </a:p>
        <a:p>
          <a:endParaRPr lang="de-DE" sz="1200" b="0" i="0" u="none" strike="noStrike" baseline="0">
            <a:solidFill>
              <a:srgbClr val="FF0000"/>
            </a:solidFill>
            <a:effectLst/>
            <a:latin typeface="+mn-lt"/>
            <a:ea typeface="+mn-ea"/>
            <a:cs typeface="+mn-cs"/>
          </a:endParaRPr>
        </a:p>
        <a:p>
          <a:r>
            <a:rPr lang="de-DE" sz="1200" b="0" i="0" u="none" strike="noStrike" baseline="0">
              <a:solidFill>
                <a:schemeClr val="tx1"/>
              </a:solidFill>
              <a:effectLst/>
              <a:latin typeface="+mn-lt"/>
              <a:ea typeface="+mn-ea"/>
              <a:cs typeface="+mn-cs"/>
            </a:rPr>
            <a:t>In der Tabelle Feiertagsberechnung werden aufgrund der Jahresangabe automatisch und dynamisch die gesetzlichen Feiertage für alle deutschen Bundesländer und die Nettoarbeitstage ohne Wochenenden berechnet. Diese Daten zu den Feier- und Arbeitstagen werden auch in dem Tabellenblatt vorgaben dargestellt, aber aktuell nicht direkt in die Monatstabellen übernommen. </a:t>
          </a:r>
        </a:p>
        <a:p>
          <a:endParaRPr lang="de-DE" sz="1200" b="0" i="0" u="none" strike="noStrike" baseline="0">
            <a:solidFill>
              <a:schemeClr val="tx1"/>
            </a:solidFill>
            <a:effectLst/>
            <a:latin typeface="+mn-lt"/>
            <a:ea typeface="+mn-ea"/>
            <a:cs typeface="+mn-cs"/>
          </a:endParaRPr>
        </a:p>
        <a:p>
          <a:endParaRPr lang="de-DE" sz="1200" b="0" i="0" u="none" strike="noStrike" baseline="0">
            <a:solidFill>
              <a:schemeClr val="tx1"/>
            </a:solidFill>
            <a:effectLst/>
            <a:latin typeface="+mn-lt"/>
            <a:ea typeface="+mn-ea"/>
            <a:cs typeface="+mn-cs"/>
          </a:endParaRPr>
        </a:p>
        <a:p>
          <a:endParaRPr lang="de-DE" sz="1200" b="0" i="0" u="none" strike="noStrike" baseline="0">
            <a:solidFill>
              <a:schemeClr val="tx1"/>
            </a:solidFill>
            <a:effectLst/>
            <a:latin typeface="+mn-lt"/>
            <a:ea typeface="+mn-ea"/>
            <a:cs typeface="+mn-cs"/>
          </a:endParaRPr>
        </a:p>
      </xdr:txBody>
    </xdr:sp>
    <xdr:clientData/>
  </xdr:twoCellAnchor>
  <xdr:twoCellAnchor>
    <xdr:from>
      <xdr:col>9</xdr:col>
      <xdr:colOff>581025</xdr:colOff>
      <xdr:row>260</xdr:row>
      <xdr:rowOff>9525</xdr:rowOff>
    </xdr:from>
    <xdr:to>
      <xdr:col>9</xdr:col>
      <xdr:colOff>666750</xdr:colOff>
      <xdr:row>260</xdr:row>
      <xdr:rowOff>153525</xdr:rowOff>
    </xdr:to>
    <xdr:sp macro="" textlink="">
      <xdr:nvSpPr>
        <xdr:cNvPr id="5" name="Pfeil nach oben 4">
          <a:hlinkClick xmlns:r="http://schemas.openxmlformats.org/officeDocument/2006/relationships" r:id="rId3"/>
          <a:extLst>
            <a:ext uri="{FF2B5EF4-FFF2-40B4-BE49-F238E27FC236}">
              <a16:creationId xmlns:a16="http://schemas.microsoft.com/office/drawing/2014/main" id="{00000000-0008-0000-0C00-000005000000}"/>
            </a:ext>
          </a:extLst>
        </xdr:cNvPr>
        <xdr:cNvSpPr/>
      </xdr:nvSpPr>
      <xdr:spPr>
        <a:xfrm>
          <a:off x="9163050" y="70104000"/>
          <a:ext cx="85725" cy="144000"/>
        </a:xfrm>
        <a:prstGeom prst="upArrow">
          <a:avLst/>
        </a:prstGeom>
        <a:solidFill>
          <a:schemeClr val="accent6">
            <a:lumMod val="75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309291</xdr:colOff>
      <xdr:row>1</xdr:row>
      <xdr:rowOff>85724</xdr:rowOff>
    </xdr:from>
    <xdr:to>
      <xdr:col>6</xdr:col>
      <xdr:colOff>1330583</xdr:colOff>
      <xdr:row>3</xdr:row>
      <xdr:rowOff>76199</xdr:rowOff>
    </xdr:to>
    <xdr:pic>
      <xdr:nvPicPr>
        <xdr:cNvPr id="2" name="Grafik 2" descr="ControllerSpielwiese.de">
          <a:hlinkClick xmlns:r="http://schemas.openxmlformats.org/officeDocument/2006/relationships" r:id="rId1"/>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1241" y="180974"/>
          <a:ext cx="2811992"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controllerspielwiese.de/inhalte/toolbox/bilanzkennzahlen.php" TargetMode="External"/><Relationship Id="rId7" Type="http://schemas.openxmlformats.org/officeDocument/2006/relationships/drawing" Target="../drawings/drawing3.xml"/><Relationship Id="rId2" Type="http://schemas.openxmlformats.org/officeDocument/2006/relationships/hyperlink" Target="mailto:Service@ControllerSpielwiese.de?subject=Ich%20m&#246;chte%20das%20Excel-Tool%20Zeiterfassung%20%20f&#252;r%20EUR%2017,85%20erwerben" TargetMode="External"/><Relationship Id="rId1" Type="http://schemas.openxmlformats.org/officeDocument/2006/relationships/hyperlink" Target="https://www.controllerspielwiese.de/inhalte/wir/formular-mitglied-werden.php" TargetMode="External"/><Relationship Id="rId6" Type="http://schemas.openxmlformats.org/officeDocument/2006/relationships/printerSettings" Target="../printerSettings/printerSettings4.bin"/><Relationship Id="rId5" Type="http://schemas.openxmlformats.org/officeDocument/2006/relationships/hyperlink" Target="mailto:Service@ControllerSpielwiese.de?subject=Excel-Tool%20Zeiterfassung%20ohne%20Passwortschutz%20f&#252;r%20EUR%204,99%20erwerben" TargetMode="External"/><Relationship Id="rId4" Type="http://schemas.openxmlformats.org/officeDocument/2006/relationships/hyperlink" Target="https://ko-fi.com/controllerspielwiese"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B1:N39"/>
  <sheetViews>
    <sheetView showGridLines="0" workbookViewId="0">
      <selection activeCell="D4" sqref="D4:E4"/>
    </sheetView>
  </sheetViews>
  <sheetFormatPr baseColWidth="10" defaultRowHeight="15"/>
  <cols>
    <col min="1" max="1" width="1.5703125" style="3" customWidth="1"/>
    <col min="2" max="2" width="1.85546875" style="3" customWidth="1"/>
    <col min="3" max="3" width="14.140625" style="3" customWidth="1"/>
    <col min="4" max="9" width="11.42578125" style="3" customWidth="1"/>
    <col min="10" max="10" width="10.7109375" style="3" customWidth="1"/>
    <col min="11" max="11" width="2.85546875" style="3" customWidth="1"/>
    <col min="12" max="12" width="11.42578125" style="3"/>
    <col min="13" max="14" width="11.42578125" style="3" hidden="1" customWidth="1"/>
    <col min="15" max="16384" width="11.42578125" style="3"/>
  </cols>
  <sheetData>
    <row r="1" spans="2:14" ht="6" customHeight="1" thickBot="1"/>
    <row r="2" spans="2:14" ht="19.5" thickTop="1">
      <c r="B2" s="82"/>
      <c r="C2" s="98" t="s">
        <v>21</v>
      </c>
      <c r="D2" s="83"/>
      <c r="E2" s="83"/>
      <c r="F2" s="83"/>
      <c r="G2" s="83"/>
      <c r="H2" s="83"/>
      <c r="I2" s="83"/>
      <c r="J2" s="83"/>
      <c r="K2" s="84"/>
    </row>
    <row r="3" spans="2:14" ht="9" customHeight="1">
      <c r="B3" s="85"/>
      <c r="C3" s="86"/>
      <c r="D3" s="86"/>
      <c r="E3" s="86"/>
      <c r="F3" s="86"/>
      <c r="G3" s="86"/>
      <c r="H3" s="86"/>
      <c r="I3" s="86"/>
      <c r="J3" s="86"/>
      <c r="K3" s="87"/>
    </row>
    <row r="4" spans="2:14">
      <c r="B4" s="85"/>
      <c r="C4" s="88" t="s">
        <v>18</v>
      </c>
      <c r="D4" s="179" t="s">
        <v>47</v>
      </c>
      <c r="E4" s="179"/>
      <c r="F4" s="86"/>
      <c r="G4" s="86"/>
      <c r="H4" s="88" t="s">
        <v>43</v>
      </c>
      <c r="I4" s="86"/>
      <c r="J4" s="178">
        <v>2026</v>
      </c>
      <c r="K4" s="87"/>
    </row>
    <row r="5" spans="2:14">
      <c r="B5" s="85"/>
      <c r="C5" s="88" t="s">
        <v>19</v>
      </c>
      <c r="D5" s="179" t="s">
        <v>48</v>
      </c>
      <c r="E5" s="179"/>
      <c r="F5" s="86"/>
      <c r="G5" s="86"/>
      <c r="H5" s="88" t="s">
        <v>23</v>
      </c>
      <c r="I5" s="188" t="s">
        <v>82</v>
      </c>
      <c r="J5" s="188"/>
      <c r="K5" s="87"/>
    </row>
    <row r="6" spans="2:14">
      <c r="B6" s="85"/>
      <c r="C6" s="88" t="s">
        <v>24</v>
      </c>
      <c r="D6" s="180">
        <v>4711</v>
      </c>
      <c r="E6" s="180"/>
      <c r="F6" s="86"/>
      <c r="G6" s="86"/>
      <c r="H6" s="86"/>
      <c r="I6" s="198" t="str">
        <f>"("&amp;Feiertagsberechnung!F36&amp;" FT und "&amp;Feiertagsberechnung!F37&amp;" AT)"</f>
        <v>(14 FT und 252 AT)</v>
      </c>
      <c r="J6" s="198"/>
      <c r="K6" s="87"/>
      <c r="M6" s="7" t="s">
        <v>16</v>
      </c>
      <c r="N6" s="8"/>
    </row>
    <row r="7" spans="2:14">
      <c r="B7" s="85"/>
      <c r="C7" s="88" t="s">
        <v>81</v>
      </c>
      <c r="D7" s="200"/>
      <c r="E7" s="200"/>
      <c r="F7" s="86"/>
      <c r="G7" s="86"/>
      <c r="H7" s="86"/>
      <c r="I7" s="86"/>
      <c r="J7" s="86"/>
      <c r="K7" s="87"/>
      <c r="M7" s="7" t="s">
        <v>16</v>
      </c>
      <c r="N7" s="8"/>
    </row>
    <row r="8" spans="2:14" ht="15.75" thickBot="1">
      <c r="B8" s="85"/>
      <c r="C8" s="86"/>
      <c r="D8" s="86"/>
      <c r="E8" s="86"/>
      <c r="F8" s="86"/>
      <c r="G8" s="86"/>
      <c r="H8" s="86"/>
      <c r="I8" s="86"/>
      <c r="J8" s="86"/>
      <c r="K8" s="87"/>
      <c r="M8" s="9">
        <v>1</v>
      </c>
      <c r="N8" s="10" t="s">
        <v>6</v>
      </c>
    </row>
    <row r="9" spans="2:14" ht="15.75" thickBot="1">
      <c r="B9" s="85"/>
      <c r="C9" s="88" t="s">
        <v>32</v>
      </c>
      <c r="D9" s="86"/>
      <c r="E9" s="1">
        <v>25</v>
      </c>
      <c r="F9" s="86"/>
      <c r="G9" s="86"/>
      <c r="H9" s="88" t="s">
        <v>49</v>
      </c>
      <c r="I9" s="86"/>
      <c r="J9" s="86"/>
      <c r="K9" s="87"/>
      <c r="M9" s="11">
        <v>2</v>
      </c>
      <c r="N9" s="12" t="s">
        <v>0</v>
      </c>
    </row>
    <row r="10" spans="2:14">
      <c r="B10" s="85"/>
      <c r="C10" s="88" t="s">
        <v>33</v>
      </c>
      <c r="D10" s="86"/>
      <c r="E10" s="2">
        <v>1</v>
      </c>
      <c r="F10" s="86"/>
      <c r="G10" s="86"/>
      <c r="H10" s="86" t="s">
        <v>0</v>
      </c>
      <c r="I10" s="86"/>
      <c r="J10" s="16">
        <v>0.29166666666666669</v>
      </c>
      <c r="K10" s="87"/>
      <c r="M10" s="11">
        <v>3</v>
      </c>
      <c r="N10" s="12" t="s">
        <v>1</v>
      </c>
    </row>
    <row r="11" spans="2:14" ht="15.75" thickBot="1">
      <c r="B11" s="85"/>
      <c r="C11" s="88" t="s">
        <v>34</v>
      </c>
      <c r="D11" s="86"/>
      <c r="E11" s="13">
        <f>SUM(E9:E10)</f>
        <v>26</v>
      </c>
      <c r="F11" s="86"/>
      <c r="G11" s="86"/>
      <c r="H11" s="86" t="s">
        <v>1</v>
      </c>
      <c r="I11" s="86"/>
      <c r="J11" s="17">
        <v>0.29166666666666669</v>
      </c>
      <c r="K11" s="87"/>
      <c r="M11" s="11">
        <v>4</v>
      </c>
      <c r="N11" s="12" t="s">
        <v>2</v>
      </c>
    </row>
    <row r="12" spans="2:14">
      <c r="B12" s="85"/>
      <c r="C12" s="86"/>
      <c r="D12" s="86"/>
      <c r="E12" s="86"/>
      <c r="F12" s="86"/>
      <c r="G12" s="86"/>
      <c r="H12" s="86" t="s">
        <v>2</v>
      </c>
      <c r="I12" s="86"/>
      <c r="J12" s="17">
        <v>0.29166666666666669</v>
      </c>
      <c r="K12" s="87"/>
      <c r="M12" s="11">
        <v>5</v>
      </c>
      <c r="N12" s="12" t="s">
        <v>3</v>
      </c>
    </row>
    <row r="13" spans="2:14">
      <c r="B13" s="85"/>
      <c r="C13" s="88" t="s">
        <v>41</v>
      </c>
      <c r="D13" s="86"/>
      <c r="E13" s="86"/>
      <c r="F13" s="86"/>
      <c r="G13" s="86"/>
      <c r="H13" s="86" t="s">
        <v>3</v>
      </c>
      <c r="I13" s="86"/>
      <c r="J13" s="17">
        <v>0.29166666666666669</v>
      </c>
      <c r="K13" s="87"/>
      <c r="M13" s="11">
        <v>6</v>
      </c>
      <c r="N13" s="12" t="s">
        <v>4</v>
      </c>
    </row>
    <row r="14" spans="2:14">
      <c r="B14" s="85"/>
      <c r="C14" s="88" t="s">
        <v>42</v>
      </c>
      <c r="D14" s="86"/>
      <c r="E14" s="89">
        <v>-1.95</v>
      </c>
      <c r="F14" s="86"/>
      <c r="G14" s="86"/>
      <c r="H14" s="86" t="s">
        <v>4</v>
      </c>
      <c r="I14" s="86"/>
      <c r="J14" s="17">
        <v>0.29166666666666669</v>
      </c>
      <c r="K14" s="87"/>
      <c r="M14" s="14">
        <v>7</v>
      </c>
      <c r="N14" s="15" t="s">
        <v>5</v>
      </c>
    </row>
    <row r="15" spans="2:14">
      <c r="B15" s="85"/>
      <c r="C15" s="86" t="s">
        <v>35</v>
      </c>
      <c r="D15" s="86"/>
      <c r="E15" s="86"/>
      <c r="F15" s="86"/>
      <c r="G15" s="86"/>
      <c r="H15" s="86" t="s">
        <v>5</v>
      </c>
      <c r="I15" s="86"/>
      <c r="J15" s="17">
        <v>0</v>
      </c>
      <c r="K15" s="87"/>
    </row>
    <row r="16" spans="2:14">
      <c r="B16" s="85"/>
      <c r="C16" s="86"/>
      <c r="D16" s="86"/>
      <c r="E16" s="86"/>
      <c r="F16" s="86"/>
      <c r="G16" s="86"/>
      <c r="H16" s="86" t="s">
        <v>6</v>
      </c>
      <c r="I16" s="86"/>
      <c r="J16" s="17">
        <v>0</v>
      </c>
      <c r="K16" s="87"/>
    </row>
    <row r="17" spans="2:11" ht="15.75" thickBot="1">
      <c r="B17" s="85"/>
      <c r="C17" s="88" t="s">
        <v>45</v>
      </c>
      <c r="D17" s="86"/>
      <c r="E17" s="19">
        <v>8.1250000000000003E-2</v>
      </c>
      <c r="F17" s="86"/>
      <c r="G17" s="86"/>
      <c r="H17" s="88" t="s">
        <v>36</v>
      </c>
      <c r="I17" s="86"/>
      <c r="J17" s="18">
        <f>SUM(J10:J16)</f>
        <v>1.4583333333333335</v>
      </c>
      <c r="K17" s="87"/>
    </row>
    <row r="18" spans="2:11">
      <c r="B18" s="85"/>
      <c r="C18" s="86"/>
      <c r="D18" s="90" t="s">
        <v>46</v>
      </c>
      <c r="E18" s="91">
        <f>E17*24</f>
        <v>1.9500000000000002</v>
      </c>
      <c r="F18" s="86"/>
      <c r="G18" s="86"/>
      <c r="H18" s="86"/>
      <c r="I18" s="86"/>
      <c r="J18" s="86"/>
      <c r="K18" s="87"/>
    </row>
    <row r="19" spans="2:11" ht="8.25" customHeight="1" thickBot="1">
      <c r="B19" s="85"/>
      <c r="C19" s="100"/>
      <c r="D19" s="100"/>
      <c r="E19" s="100"/>
      <c r="F19" s="100"/>
      <c r="G19" s="100"/>
      <c r="H19" s="100"/>
      <c r="I19" s="100"/>
      <c r="J19" s="100"/>
      <c r="K19" s="87"/>
    </row>
    <row r="20" spans="2:11" ht="6" customHeight="1">
      <c r="B20" s="85"/>
      <c r="C20" s="86"/>
      <c r="D20" s="86"/>
      <c r="E20" s="86"/>
      <c r="F20" s="86"/>
      <c r="G20" s="86"/>
      <c r="H20" s="86"/>
      <c r="I20" s="86"/>
      <c r="J20" s="86"/>
      <c r="K20" s="87"/>
    </row>
    <row r="21" spans="2:11" ht="18.75">
      <c r="B21" s="85"/>
      <c r="C21" s="99" t="s">
        <v>53</v>
      </c>
      <c r="D21" s="86"/>
      <c r="E21" s="86"/>
      <c r="F21" s="86"/>
      <c r="G21" s="86"/>
      <c r="H21" s="86"/>
      <c r="I21" s="86"/>
      <c r="J21" s="86"/>
      <c r="K21" s="87"/>
    </row>
    <row r="22" spans="2:11">
      <c r="B22" s="85"/>
      <c r="C22" s="86"/>
      <c r="D22" s="86"/>
      <c r="E22" s="86"/>
      <c r="F22" s="86"/>
      <c r="G22" s="86"/>
      <c r="H22" s="86"/>
      <c r="I22" s="86"/>
      <c r="J22" s="86"/>
      <c r="K22" s="87"/>
    </row>
    <row r="23" spans="2:11">
      <c r="B23" s="85"/>
      <c r="C23" s="86"/>
      <c r="D23" s="92" t="s">
        <v>65</v>
      </c>
      <c r="E23" s="92" t="s">
        <v>11</v>
      </c>
      <c r="F23" s="92" t="s">
        <v>66</v>
      </c>
      <c r="G23" s="92" t="s">
        <v>22</v>
      </c>
      <c r="H23" s="92" t="s">
        <v>37</v>
      </c>
      <c r="I23" s="92" t="s">
        <v>38</v>
      </c>
      <c r="J23" s="86"/>
      <c r="K23" s="87"/>
    </row>
    <row r="24" spans="2:11" ht="15.75" thickBot="1">
      <c r="B24" s="85"/>
      <c r="C24" s="88" t="s">
        <v>69</v>
      </c>
      <c r="D24" s="75"/>
      <c r="E24" s="86"/>
      <c r="F24" s="75">
        <f>E14/24</f>
        <v>-8.1250000000000003E-2</v>
      </c>
      <c r="G24" s="77">
        <f>E11</f>
        <v>26</v>
      </c>
      <c r="H24" s="93"/>
      <c r="I24" s="93"/>
      <c r="J24" s="86"/>
      <c r="K24" s="87"/>
    </row>
    <row r="25" spans="2:11" ht="16.5" thickTop="1" thickBot="1">
      <c r="B25" s="85"/>
      <c r="C25" s="88" t="s">
        <v>50</v>
      </c>
      <c r="D25" s="66" t="str">
        <f>IF(Jan!$I$7=0,"",Jan!$I$7)</f>
        <v/>
      </c>
      <c r="E25" s="66" t="str">
        <f>IF(D25="","",Jan!$I$6)</f>
        <v/>
      </c>
      <c r="F25" s="68" t="str">
        <f>IF(D25="","",D25-E25)</f>
        <v/>
      </c>
      <c r="G25" s="67" t="str">
        <f>IF(D25="","",Jan!$W$5)</f>
        <v/>
      </c>
      <c r="H25" s="67" t="str">
        <f>IF(D25="","",Jan!$W$6)</f>
        <v/>
      </c>
      <c r="I25" s="67" t="str">
        <f>IF(D25="","",Jan!$W$7)</f>
        <v/>
      </c>
      <c r="J25" s="86"/>
      <c r="K25" s="87"/>
    </row>
    <row r="26" spans="2:11" ht="16.5" thickTop="1" thickBot="1">
      <c r="B26" s="85"/>
      <c r="C26" s="88" t="s">
        <v>54</v>
      </c>
      <c r="D26" s="175" t="str">
        <f>IF(Feb!$I$7=0,"",Feb!$I$7)</f>
        <v/>
      </c>
      <c r="E26" s="66" t="str">
        <f>IF(D26="","",Feb!$I$6)</f>
        <v/>
      </c>
      <c r="F26" s="68" t="str">
        <f>IF(D26="","",D26-E26)</f>
        <v/>
      </c>
      <c r="G26" s="67" t="str">
        <f>IF(D26="","",Feb!$W$5)</f>
        <v/>
      </c>
      <c r="H26" s="67" t="str">
        <f>IF(D26="","",Feb!$W$6)</f>
        <v/>
      </c>
      <c r="I26" s="67" t="str">
        <f>IF(D26="","",Feb!$W$7)</f>
        <v/>
      </c>
      <c r="J26" s="86"/>
      <c r="K26" s="87"/>
    </row>
    <row r="27" spans="2:11" ht="16.5" thickTop="1" thickBot="1">
      <c r="B27" s="85"/>
      <c r="C27" s="88" t="s">
        <v>55</v>
      </c>
      <c r="D27" s="66"/>
      <c r="E27" s="66"/>
      <c r="F27" s="68"/>
      <c r="G27" s="67"/>
      <c r="H27" s="67"/>
      <c r="I27" s="67"/>
      <c r="J27" s="86"/>
      <c r="K27" s="87"/>
    </row>
    <row r="28" spans="2:11" ht="16.5" thickTop="1" thickBot="1">
      <c r="B28" s="85"/>
      <c r="C28" s="88" t="s">
        <v>56</v>
      </c>
      <c r="D28" s="66"/>
      <c r="E28" s="66"/>
      <c r="F28" s="68"/>
      <c r="G28" s="67"/>
      <c r="H28" s="67"/>
      <c r="I28" s="67"/>
      <c r="J28" s="86"/>
      <c r="K28" s="87"/>
    </row>
    <row r="29" spans="2:11" ht="16.5" thickTop="1" thickBot="1">
      <c r="B29" s="85"/>
      <c r="C29" s="88" t="s">
        <v>57</v>
      </c>
      <c r="D29" s="66"/>
      <c r="E29" s="66"/>
      <c r="F29" s="68"/>
      <c r="G29" s="67"/>
      <c r="H29" s="67"/>
      <c r="I29" s="67"/>
      <c r="J29" s="86"/>
      <c r="K29" s="87"/>
    </row>
    <row r="30" spans="2:11" ht="16.5" thickTop="1" thickBot="1">
      <c r="B30" s="85"/>
      <c r="C30" s="88" t="s">
        <v>58</v>
      </c>
      <c r="D30" s="66"/>
      <c r="E30" s="66"/>
      <c r="F30" s="68"/>
      <c r="G30" s="67"/>
      <c r="H30" s="67"/>
      <c r="I30" s="67"/>
      <c r="J30" s="86"/>
      <c r="K30" s="87"/>
    </row>
    <row r="31" spans="2:11" ht="16.5" thickTop="1" thickBot="1">
      <c r="B31" s="85"/>
      <c r="C31" s="88" t="s">
        <v>59</v>
      </c>
      <c r="D31" s="66"/>
      <c r="E31" s="66"/>
      <c r="F31" s="68"/>
      <c r="G31" s="67"/>
      <c r="H31" s="67"/>
      <c r="I31" s="67"/>
      <c r="J31" s="86"/>
      <c r="K31" s="87"/>
    </row>
    <row r="32" spans="2:11" ht="16.5" thickTop="1" thickBot="1">
      <c r="B32" s="85"/>
      <c r="C32" s="88" t="s">
        <v>60</v>
      </c>
      <c r="D32" s="66"/>
      <c r="E32" s="66"/>
      <c r="F32" s="68"/>
      <c r="G32" s="67"/>
      <c r="H32" s="67"/>
      <c r="I32" s="67"/>
      <c r="J32" s="86"/>
      <c r="K32" s="87"/>
    </row>
    <row r="33" spans="2:11" ht="16.5" thickTop="1" thickBot="1">
      <c r="B33" s="85"/>
      <c r="C33" s="88" t="s">
        <v>61</v>
      </c>
      <c r="D33" s="66"/>
      <c r="E33" s="66"/>
      <c r="F33" s="68"/>
      <c r="G33" s="67"/>
      <c r="H33" s="67"/>
      <c r="I33" s="67"/>
      <c r="J33" s="86"/>
      <c r="K33" s="87"/>
    </row>
    <row r="34" spans="2:11" ht="16.5" thickTop="1" thickBot="1">
      <c r="B34" s="85"/>
      <c r="C34" s="88" t="s">
        <v>62</v>
      </c>
      <c r="D34" s="66"/>
      <c r="E34" s="66"/>
      <c r="F34" s="68"/>
      <c r="G34" s="67"/>
      <c r="H34" s="67"/>
      <c r="I34" s="67"/>
      <c r="J34" s="86"/>
      <c r="K34" s="87"/>
    </row>
    <row r="35" spans="2:11" ht="16.5" thickTop="1" thickBot="1">
      <c r="B35" s="85"/>
      <c r="C35" s="88" t="s">
        <v>63</v>
      </c>
      <c r="D35" s="66"/>
      <c r="E35" s="66"/>
      <c r="F35" s="68"/>
      <c r="G35" s="67"/>
      <c r="H35" s="67"/>
      <c r="I35" s="67"/>
      <c r="J35" s="86"/>
      <c r="K35" s="87"/>
    </row>
    <row r="36" spans="2:11" ht="16.5" thickTop="1" thickBot="1">
      <c r="B36" s="85"/>
      <c r="C36" s="88" t="s">
        <v>64</v>
      </c>
      <c r="D36" s="66"/>
      <c r="E36" s="66"/>
      <c r="F36" s="68"/>
      <c r="G36" s="67"/>
      <c r="H36" s="67"/>
      <c r="I36" s="67"/>
      <c r="J36" s="86"/>
      <c r="K36" s="87"/>
    </row>
    <row r="37" spans="2:11" ht="15.75" thickTop="1">
      <c r="B37" s="85"/>
      <c r="C37" s="94" t="s">
        <v>80</v>
      </c>
      <c r="D37" s="75">
        <f>SUM(D25:D36)</f>
        <v>0</v>
      </c>
      <c r="E37" s="75">
        <f>SUM(E25:E36)</f>
        <v>0</v>
      </c>
      <c r="F37" s="76">
        <f>SUM(F24:F36)</f>
        <v>-8.1250000000000003E-2</v>
      </c>
      <c r="G37" s="77">
        <f>G24-SUM(G25:G36)</f>
        <v>26</v>
      </c>
      <c r="H37" s="77">
        <f>SUM(H25:H36)</f>
        <v>0</v>
      </c>
      <c r="I37" s="77">
        <f>SUM(I25:I36)</f>
        <v>0</v>
      </c>
      <c r="J37" s="86"/>
      <c r="K37" s="87"/>
    </row>
    <row r="38" spans="2:11" ht="15.75" thickBot="1">
      <c r="B38" s="95"/>
      <c r="C38" s="96"/>
      <c r="D38" s="96"/>
      <c r="E38" s="96"/>
      <c r="F38" s="96"/>
      <c r="G38" s="96"/>
      <c r="H38" s="96"/>
      <c r="I38" s="96"/>
      <c r="J38" s="96"/>
      <c r="K38" s="97"/>
    </row>
    <row r="39" spans="2:11" ht="15.75" thickTop="1"/>
  </sheetData>
  <sheetProtection password="DEB9" sheet="1" selectLockedCells="1"/>
  <mergeCells count="6">
    <mergeCell ref="I5:J5"/>
    <mergeCell ref="I6:J6"/>
    <mergeCell ref="D4:E4"/>
    <mergeCell ref="D5:E5"/>
    <mergeCell ref="D6:E6"/>
    <mergeCell ref="D7:E7"/>
  </mergeCells>
  <conditionalFormatting sqref="G25:I36">
    <cfRule type="cellIs" dxfId="18" priority="1" operator="equal">
      <formula>0</formula>
    </cfRule>
  </conditionalFormatting>
  <pageMargins left="0.39370078740157483" right="0.15748031496062992" top="0.78740157480314965" bottom="0.55118110236220474" header="0.31496062992125984" footer="0.31496062992125984"/>
  <pageSetup orientation="portrait" r:id="rId1"/>
  <headerFooter>
    <oddFooter>&amp;L&amp;8Arbeitszeiterfassung&amp;C&amp;8Vorgabewerte&amp;R&amp;8Copyright:  Joachim Becker WebSolutions / ControllerSpielwiese.de</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Feiertagsberechnung!$I$9:$X$9</xm:f>
          </x14:formula1>
          <xm:sqref>I5:J5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048568"/>
  <sheetViews>
    <sheetView showGridLines="0" tabSelected="1" zoomScaleNormal="100" workbookViewId="0">
      <pane ySplit="12" topLeftCell="A13" activePane="bottomLeft" state="frozen"/>
      <selection pane="bottomLeft" activeCell="E13" sqref="E13"/>
    </sheetView>
  </sheetViews>
  <sheetFormatPr baseColWidth="10" defaultRowHeight="15"/>
  <cols>
    <col min="1" max="1" width="1" style="3" customWidth="1"/>
    <col min="2" max="2" width="2.140625" style="3" customWidth="1"/>
    <col min="3" max="3" width="10.140625" style="3" customWidth="1"/>
    <col min="4" max="4" width="11.42578125" style="3" customWidth="1"/>
    <col min="5" max="6" width="8.5703125" style="3" customWidth="1"/>
    <col min="7" max="7" width="7.28515625" style="3" customWidth="1"/>
    <col min="8" max="9" width="9.5703125" style="3" customWidth="1"/>
    <col min="10" max="10" width="7.28515625" style="3" customWidth="1"/>
    <col min="11" max="12" width="9.5703125" style="3" customWidth="1"/>
    <col min="13" max="13" width="7.28515625" style="3" hidden="1" customWidth="1"/>
    <col min="14" max="15" width="9.5703125" style="3" hidden="1" customWidth="1"/>
    <col min="16" max="16" width="13.85546875" style="3" customWidth="1"/>
    <col min="17" max="17" width="7.28515625" style="3" customWidth="1"/>
    <col min="18" max="19" width="7.7109375" style="3" customWidth="1"/>
    <col min="20" max="20" width="7.5703125" style="3" customWidth="1"/>
    <col min="21" max="21" width="8" style="3" customWidth="1"/>
    <col min="22" max="22" width="7.7109375" style="3" customWidth="1"/>
    <col min="23" max="23" width="9.5703125" style="3" customWidth="1"/>
    <col min="24" max="24" width="22.28515625" style="3" customWidth="1"/>
    <col min="25" max="25" width="2.85546875" style="3" customWidth="1"/>
    <col min="26" max="29" width="9.5703125" style="3" customWidth="1"/>
    <col min="30" max="16384" width="11.42578125" style="3"/>
  </cols>
  <sheetData>
    <row r="1" spans="1:26" ht="5.25" customHeight="1">
      <c r="A1" s="145"/>
    </row>
    <row r="2" spans="1:26" ht="3" customHeight="1">
      <c r="B2" s="4"/>
      <c r="C2" s="4"/>
      <c r="D2" s="4"/>
      <c r="E2" s="4"/>
      <c r="F2" s="4"/>
      <c r="G2" s="4"/>
      <c r="H2" s="4"/>
      <c r="I2" s="4"/>
      <c r="J2" s="4"/>
      <c r="K2" s="4"/>
      <c r="L2" s="4"/>
      <c r="M2" s="4"/>
      <c r="N2" s="4"/>
      <c r="O2" s="4"/>
      <c r="P2" s="4"/>
      <c r="Q2" s="4"/>
      <c r="R2" s="4"/>
      <c r="S2" s="4"/>
      <c r="T2" s="4"/>
      <c r="U2" s="4"/>
      <c r="V2" s="4"/>
      <c r="W2" s="4"/>
      <c r="X2" s="4"/>
      <c r="Y2" s="4"/>
    </row>
    <row r="3" spans="1:26" ht="18.75" customHeight="1">
      <c r="B3" s="4"/>
      <c r="C3" s="29" t="s">
        <v>17</v>
      </c>
      <c r="D3" s="30"/>
      <c r="E3" s="30"/>
      <c r="F3" s="184" t="s">
        <v>50</v>
      </c>
      <c r="G3" s="184"/>
      <c r="H3" s="31">
        <f>Vorgaben!J4</f>
        <v>2026</v>
      </c>
      <c r="I3" s="32" t="str">
        <f ca="1">IF(TODAY()&gt;C43,"","(aktuell: "&amp;TEXT(L8,"[hh]:mm")&amp;" h)")</f>
        <v/>
      </c>
      <c r="J3" s="32"/>
      <c r="K3" s="32"/>
      <c r="L3" s="4"/>
      <c r="M3" s="4"/>
      <c r="N3" s="4"/>
      <c r="O3" s="4"/>
      <c r="P3" s="4"/>
      <c r="Q3" s="4"/>
      <c r="R3" s="4"/>
      <c r="S3" s="4"/>
      <c r="T3" s="4"/>
      <c r="U3" s="4"/>
      <c r="V3" s="4"/>
      <c r="W3" s="4"/>
      <c r="X3" s="4"/>
      <c r="Y3" s="4"/>
    </row>
    <row r="4" spans="1:26" ht="15" customHeight="1">
      <c r="B4" s="4"/>
      <c r="C4" s="29"/>
      <c r="D4" s="30"/>
      <c r="E4" s="30"/>
      <c r="F4" s="101"/>
      <c r="G4" s="101"/>
      <c r="H4" s="31"/>
      <c r="I4" s="32"/>
      <c r="J4" s="32"/>
      <c r="K4" s="32"/>
      <c r="L4" s="4"/>
      <c r="M4" s="4"/>
      <c r="N4" s="4"/>
      <c r="O4" s="4"/>
      <c r="P4" s="4"/>
      <c r="Q4" s="4"/>
      <c r="R4" s="4"/>
      <c r="S4" s="4"/>
      <c r="T4" s="4"/>
      <c r="U4" s="183" t="s">
        <v>251</v>
      </c>
      <c r="V4" s="183"/>
      <c r="W4" s="183"/>
      <c r="X4" s="4"/>
      <c r="Y4" s="4"/>
    </row>
    <row r="5" spans="1:26" ht="15" customHeight="1">
      <c r="B5" s="4"/>
      <c r="C5" s="185" t="s">
        <v>83</v>
      </c>
      <c r="D5" s="185"/>
      <c r="E5" s="185"/>
      <c r="F5" s="4"/>
      <c r="G5" s="181" t="s">
        <v>73</v>
      </c>
      <c r="H5" s="181"/>
      <c r="I5" s="181"/>
      <c r="J5" s="181"/>
      <c r="K5" s="181"/>
      <c r="L5" s="182"/>
      <c r="M5" s="4"/>
      <c r="N5" s="4"/>
      <c r="O5" s="4"/>
      <c r="P5" s="81"/>
      <c r="Q5" s="79" t="s">
        <v>74</v>
      </c>
      <c r="R5" s="80"/>
      <c r="S5" s="80"/>
      <c r="T5" s="4"/>
      <c r="U5" s="4"/>
      <c r="V5" s="33" t="s">
        <v>26</v>
      </c>
      <c r="W5" s="78">
        <f>COUNTIF($P$13:$P$43,X5)</f>
        <v>0</v>
      </c>
      <c r="X5" s="34" t="s">
        <v>22</v>
      </c>
      <c r="Y5" s="4"/>
    </row>
    <row r="6" spans="1:26" ht="15" customHeight="1" thickBot="1">
      <c r="B6" s="4"/>
      <c r="C6" s="33" t="s">
        <v>18</v>
      </c>
      <c r="D6" s="103" t="str">
        <f>Vorgaben!D4</f>
        <v>Manuela Musterfrau</v>
      </c>
      <c r="E6" s="4"/>
      <c r="F6" s="35"/>
      <c r="G6" s="72"/>
      <c r="H6" s="73" t="s">
        <v>75</v>
      </c>
      <c r="I6" s="43">
        <f>T44</f>
        <v>6.4166666666666687</v>
      </c>
      <c r="J6" s="72"/>
      <c r="K6" s="73" t="s">
        <v>70</v>
      </c>
      <c r="L6" s="43">
        <f>Vorgaben!E14/24</f>
        <v>-8.1250000000000003E-2</v>
      </c>
      <c r="M6" s="4"/>
      <c r="N6" s="4"/>
      <c r="O6" s="4"/>
      <c r="P6" s="4"/>
      <c r="Q6" s="4"/>
      <c r="R6" s="33" t="s">
        <v>79</v>
      </c>
      <c r="S6" s="74">
        <f>Vorgaben!E11</f>
        <v>26</v>
      </c>
      <c r="T6" s="4"/>
      <c r="U6" s="4"/>
      <c r="V6" s="33" t="s">
        <v>27</v>
      </c>
      <c r="W6" s="36">
        <f>COUNTIF($P$13:$P$43,X6)</f>
        <v>0</v>
      </c>
      <c r="X6" s="34" t="s">
        <v>37</v>
      </c>
      <c r="Y6" s="4"/>
    </row>
    <row r="7" spans="1:26" ht="15" customHeight="1" thickBot="1">
      <c r="B7" s="4"/>
      <c r="C7" s="33" t="s">
        <v>19</v>
      </c>
      <c r="D7" s="39" t="str">
        <f>Vorgaben!D5</f>
        <v>Finanzbuchhaltung</v>
      </c>
      <c r="E7" s="37"/>
      <c r="F7" s="38"/>
      <c r="G7" s="72"/>
      <c r="H7" s="73" t="s">
        <v>76</v>
      </c>
      <c r="I7" s="43">
        <f>R44</f>
        <v>0</v>
      </c>
      <c r="J7" s="72"/>
      <c r="K7" s="73" t="s">
        <v>71</v>
      </c>
      <c r="L7" s="43">
        <f>SUM(V13:V43)</f>
        <v>0</v>
      </c>
      <c r="M7" s="4"/>
      <c r="N7" s="4"/>
      <c r="O7" s="4"/>
      <c r="P7" s="4"/>
      <c r="Q7" s="4"/>
      <c r="R7" s="33" t="s">
        <v>78</v>
      </c>
      <c r="S7" s="74">
        <f>W5</f>
        <v>0</v>
      </c>
      <c r="T7" s="4"/>
      <c r="U7" s="4"/>
      <c r="V7" s="33" t="s">
        <v>29</v>
      </c>
      <c r="W7" s="36">
        <f>COUNTIF($P$13:$P$43,X7)</f>
        <v>0</v>
      </c>
      <c r="X7" s="34" t="s">
        <v>38</v>
      </c>
      <c r="Y7" s="4"/>
    </row>
    <row r="8" spans="1:26" ht="15" customHeight="1">
      <c r="B8" s="4"/>
      <c r="C8" s="33" t="s">
        <v>24</v>
      </c>
      <c r="D8" s="42">
        <f>Vorgaben!D6</f>
        <v>4711</v>
      </c>
      <c r="E8" s="37"/>
      <c r="F8" s="41"/>
      <c r="G8" s="72"/>
      <c r="H8" s="73" t="s">
        <v>52</v>
      </c>
      <c r="I8" s="43">
        <f>IF(I7=0,I7,I7-I6)</f>
        <v>0</v>
      </c>
      <c r="J8" s="72"/>
      <c r="K8" s="73" t="s">
        <v>72</v>
      </c>
      <c r="L8" s="43">
        <f>SUM(L6:L7)</f>
        <v>-8.1250000000000003E-2</v>
      </c>
      <c r="M8" s="4"/>
      <c r="N8" s="4"/>
      <c r="O8" s="4"/>
      <c r="P8" s="4"/>
      <c r="Q8" s="4"/>
      <c r="R8" s="33" t="s">
        <v>44</v>
      </c>
      <c r="S8" s="74">
        <f>S6-S7</f>
        <v>26</v>
      </c>
      <c r="T8" s="4"/>
      <c r="U8" s="4"/>
      <c r="V8" s="33" t="s">
        <v>40</v>
      </c>
      <c r="W8" s="36">
        <f>COUNTIF($P$13:$P$43,X8)</f>
        <v>0</v>
      </c>
      <c r="X8" s="34" t="s">
        <v>25</v>
      </c>
      <c r="Y8" s="4"/>
    </row>
    <row r="9" spans="1:26" ht="15" customHeight="1">
      <c r="B9" s="4"/>
      <c r="C9" s="33" t="str">
        <f>IF(Vorgaben!C7="frei:","",Vorgaben!C7)</f>
        <v/>
      </c>
      <c r="D9" s="42" t="str">
        <f>IF(Vorgaben!D7="","",Vorgaben!D7)</f>
        <v/>
      </c>
      <c r="E9" s="40"/>
      <c r="F9" s="41"/>
      <c r="G9" s="41"/>
      <c r="H9" s="41"/>
      <c r="I9" s="41"/>
      <c r="J9" s="41"/>
      <c r="K9" s="41"/>
      <c r="L9" s="41"/>
      <c r="M9" s="41"/>
      <c r="N9" s="41"/>
      <c r="O9" s="41"/>
      <c r="P9" s="41"/>
      <c r="Q9" s="41"/>
      <c r="R9" s="41"/>
      <c r="S9" s="41"/>
      <c r="T9" s="4"/>
      <c r="U9" s="4"/>
      <c r="V9" s="33" t="s">
        <v>51</v>
      </c>
      <c r="W9" s="36">
        <f>COUNTIF($P$13:$P$43,X9)</f>
        <v>0</v>
      </c>
      <c r="X9" s="34" t="s">
        <v>39</v>
      </c>
      <c r="Y9" s="4"/>
    </row>
    <row r="10" spans="1:26" ht="6.75" customHeight="1">
      <c r="B10" s="4"/>
      <c r="C10" s="71"/>
      <c r="D10" s="71"/>
      <c r="E10" s="20"/>
      <c r="F10" s="20"/>
      <c r="G10" s="20"/>
      <c r="H10" s="20"/>
      <c r="I10" s="20"/>
      <c r="J10" s="20"/>
      <c r="K10" s="20"/>
      <c r="L10" s="20"/>
      <c r="M10" s="20"/>
      <c r="N10" s="20"/>
      <c r="O10" s="20"/>
      <c r="P10" s="71"/>
      <c r="Q10" s="20"/>
      <c r="R10" s="20"/>
      <c r="S10" s="20"/>
      <c r="T10" s="20"/>
      <c r="U10" s="20"/>
      <c r="V10" s="20"/>
      <c r="W10" s="20"/>
      <c r="X10" s="20"/>
      <c r="Y10" s="4"/>
    </row>
    <row r="11" spans="1:26" ht="18" customHeight="1">
      <c r="B11" s="44"/>
      <c r="C11" s="21" t="s">
        <v>20</v>
      </c>
      <c r="D11" s="5" t="s">
        <v>15</v>
      </c>
      <c r="E11" s="21" t="s">
        <v>7</v>
      </c>
      <c r="F11" s="21" t="s">
        <v>8</v>
      </c>
      <c r="G11" s="21" t="s">
        <v>9</v>
      </c>
      <c r="H11" s="21" t="s">
        <v>7</v>
      </c>
      <c r="I11" s="21" t="s">
        <v>8</v>
      </c>
      <c r="J11" s="21" t="s">
        <v>10</v>
      </c>
      <c r="K11" s="21" t="s">
        <v>7</v>
      </c>
      <c r="L11" s="21" t="s">
        <v>8</v>
      </c>
      <c r="M11" s="21" t="s">
        <v>28</v>
      </c>
      <c r="N11" s="21" t="s">
        <v>7</v>
      </c>
      <c r="O11" s="21" t="s">
        <v>8</v>
      </c>
      <c r="P11" s="21" t="s">
        <v>30</v>
      </c>
      <c r="Q11" s="21" t="s">
        <v>77</v>
      </c>
      <c r="R11" s="21" t="s">
        <v>13</v>
      </c>
      <c r="S11" s="21" t="s">
        <v>14</v>
      </c>
      <c r="T11" s="21" t="s">
        <v>11</v>
      </c>
      <c r="U11" s="21" t="s">
        <v>12</v>
      </c>
      <c r="V11" s="21" t="s">
        <v>67</v>
      </c>
      <c r="W11" s="21" t="s">
        <v>68</v>
      </c>
      <c r="X11" s="21" t="s">
        <v>31</v>
      </c>
      <c r="Y11" s="4"/>
    </row>
    <row r="12" spans="1:26" ht="3.75" customHeight="1">
      <c r="B12" s="44"/>
      <c r="C12" s="4"/>
      <c r="D12" s="4"/>
      <c r="E12" s="4"/>
      <c r="F12" s="4"/>
      <c r="G12" s="4"/>
      <c r="H12" s="4"/>
      <c r="I12" s="4"/>
      <c r="J12" s="4"/>
      <c r="K12" s="4"/>
      <c r="L12" s="4"/>
      <c r="M12" s="4"/>
      <c r="N12" s="4"/>
      <c r="O12" s="4"/>
      <c r="P12" s="4"/>
      <c r="Q12" s="4"/>
      <c r="R12" s="4"/>
      <c r="S12" s="4"/>
      <c r="T12" s="4"/>
      <c r="U12" s="4"/>
      <c r="V12" s="4"/>
      <c r="W12" s="4"/>
      <c r="X12" s="4"/>
      <c r="Y12" s="4"/>
    </row>
    <row r="13" spans="1:26" ht="17.100000000000001" customHeight="1">
      <c r="B13" s="44">
        <f>VLOOKUP(D13,Vorgaben!$H$10:$J$16,3,0)</f>
        <v>0.29166666666666669</v>
      </c>
      <c r="C13" s="45">
        <f>DATEVALUE(1&amp;"."&amp;F3&amp;"."&amp;H3)</f>
        <v>44561</v>
      </c>
      <c r="D13" s="46" t="str">
        <f t="shared" ref="D13:D40" si="0">VLOOKUP(WEEKDAY(C13),Wochentag,2)</f>
        <v>Donnerstag</v>
      </c>
      <c r="E13" s="22"/>
      <c r="F13" s="22"/>
      <c r="G13" s="47">
        <f t="shared" ref="G13:G43" si="1">IF(E13="",0,IF(H13="",0,H13-F13))</f>
        <v>0</v>
      </c>
      <c r="H13" s="22"/>
      <c r="I13" s="22"/>
      <c r="J13" s="47">
        <f t="shared" ref="J13:J16" si="2">IF(H13="",0,IF(K13="",0,K13-I13))</f>
        <v>0</v>
      </c>
      <c r="K13" s="22"/>
      <c r="L13" s="22"/>
      <c r="M13" s="47">
        <f t="shared" ref="M13:M16" si="3">IF(K13="",0,IF(N13="",0,N13-L13))</f>
        <v>0</v>
      </c>
      <c r="N13" s="22"/>
      <c r="O13" s="22"/>
      <c r="P13" s="23"/>
      <c r="Q13" s="47">
        <f t="shared" ref="Q13:Q43" si="4">IF(F13=0,0,IF(F13-E13+I13-H13+L13-K13+O13-N13&gt;neun_h,0.3125,IF(AND(F13-E13+I13-H13+L13-K13+O13-N13&lt;=neun_h,F13-E13+I13-H13+L13-K13+O13-N13&gt;sechs_h),0.0208333333333333,0.00000000000000001)))</f>
        <v>0</v>
      </c>
      <c r="R13" s="48">
        <f>IF(OR(P13="Urlaub",P13="Krank",P13="Fortbildung",P13="Feiertag"),T13,IF(F13=0,0,F13-E13+I13-H13+L13-K13+O13-N13-IF(G13&lt;=0.0208333333333333,Q13-G13,0)))</f>
        <v>0</v>
      </c>
      <c r="S13" s="49">
        <f>IF(AND(F13=0,P13=0),0,R13)</f>
        <v>0</v>
      </c>
      <c r="T13" s="50">
        <f>VLOOKUP(D13,Vorgaben!$H$10:$J$16,3,0)</f>
        <v>0.29166666666666669</v>
      </c>
      <c r="U13" s="49">
        <f>T13</f>
        <v>0.29166666666666669</v>
      </c>
      <c r="V13" s="69">
        <f>IF(AND(E13+F13+H13+I13+K13+L13=0,P13=""),0,R13-T13)</f>
        <v>0</v>
      </c>
      <c r="W13" s="69">
        <f>V13</f>
        <v>0</v>
      </c>
      <c r="X13" s="176"/>
      <c r="Y13" s="4"/>
      <c r="Z13" s="53"/>
    </row>
    <row r="14" spans="1:26" ht="17.100000000000001" customHeight="1">
      <c r="B14" s="44">
        <f>VLOOKUP(D14,Vorgaben!$H$10:$J$16,3,0)</f>
        <v>0.29166666666666669</v>
      </c>
      <c r="C14" s="45">
        <f>C13+1</f>
        <v>44562</v>
      </c>
      <c r="D14" s="51" t="str">
        <f t="shared" si="0"/>
        <v>Freitag</v>
      </c>
      <c r="E14" s="22"/>
      <c r="F14" s="22"/>
      <c r="G14" s="47">
        <f>IF(E14="",0,IF(H14="",0,H14-F14))</f>
        <v>0</v>
      </c>
      <c r="H14" s="22"/>
      <c r="I14" s="22"/>
      <c r="J14" s="47">
        <f t="shared" si="2"/>
        <v>0</v>
      </c>
      <c r="K14" s="22"/>
      <c r="L14" s="22"/>
      <c r="M14" s="47">
        <f t="shared" si="3"/>
        <v>0</v>
      </c>
      <c r="N14" s="22"/>
      <c r="O14" s="22"/>
      <c r="P14" s="24"/>
      <c r="Q14" s="47">
        <f t="shared" si="4"/>
        <v>0</v>
      </c>
      <c r="R14" s="48">
        <f t="shared" ref="R14:R43" si="5">IF(OR(P14="Urlaub",P14="Krank",P14="Fortbildung",P14="Feiertag"),T14,IF(F14=0,0,F14-E14+I14-H14+L14-K14+O14-N14-IF(G14&lt;=0.0208333333333333,Q14-G14,0)))</f>
        <v>0</v>
      </c>
      <c r="S14" s="49">
        <f>R14+S13</f>
        <v>0</v>
      </c>
      <c r="T14" s="50">
        <f>VLOOKUP(D14,Vorgaben!$H$10:$J$16,3,0)</f>
        <v>0.29166666666666669</v>
      </c>
      <c r="U14" s="49">
        <f>T14+U13</f>
        <v>0.58333333333333337</v>
      </c>
      <c r="V14" s="69">
        <f>IF(AND(E14+F14+H14+I14+K14+L14=0,P14=""),0,R14-T14)</f>
        <v>0</v>
      </c>
      <c r="W14" s="69">
        <f>V14+W13</f>
        <v>0</v>
      </c>
      <c r="X14" s="176"/>
      <c r="Y14" s="52"/>
      <c r="Z14" s="53"/>
    </row>
    <row r="15" spans="1:26" ht="17.100000000000001" customHeight="1">
      <c r="B15" s="44">
        <f>VLOOKUP(D15,Vorgaben!$H$10:$J$16,3,0)</f>
        <v>0</v>
      </c>
      <c r="C15" s="45">
        <f t="shared" ref="C15:C40" si="6">C14+1</f>
        <v>44563</v>
      </c>
      <c r="D15" s="51" t="str">
        <f t="shared" si="0"/>
        <v>Samstag</v>
      </c>
      <c r="E15" s="22"/>
      <c r="F15" s="22"/>
      <c r="G15" s="47">
        <f t="shared" si="1"/>
        <v>0</v>
      </c>
      <c r="H15" s="22"/>
      <c r="I15" s="22"/>
      <c r="J15" s="47">
        <f t="shared" si="2"/>
        <v>0</v>
      </c>
      <c r="K15" s="22"/>
      <c r="L15" s="22"/>
      <c r="M15" s="47">
        <f t="shared" si="3"/>
        <v>0</v>
      </c>
      <c r="N15" s="22"/>
      <c r="O15" s="22"/>
      <c r="P15" s="25"/>
      <c r="Q15" s="47">
        <f t="shared" si="4"/>
        <v>0</v>
      </c>
      <c r="R15" s="48">
        <f t="shared" si="5"/>
        <v>0</v>
      </c>
      <c r="S15" s="49">
        <f t="shared" ref="S15:S43" si="7">R15+S14</f>
        <v>0</v>
      </c>
      <c r="T15" s="50">
        <f>VLOOKUP(D15,Vorgaben!$H$10:$J$16,3,0)</f>
        <v>0</v>
      </c>
      <c r="U15" s="49">
        <f>T15+U14</f>
        <v>0.58333333333333337</v>
      </c>
      <c r="V15" s="69">
        <f t="shared" ref="V15:V43" si="8">IF(AND(E15+F15+H15+I15+K15+L15=0,P15=""),0,R15-T15)</f>
        <v>0</v>
      </c>
      <c r="W15" s="69">
        <f t="shared" ref="W15:W40" si="9">V15+W14</f>
        <v>0</v>
      </c>
      <c r="X15" s="176"/>
      <c r="Y15" s="52"/>
      <c r="Z15" s="53"/>
    </row>
    <row r="16" spans="1:26" ht="17.100000000000001" customHeight="1">
      <c r="B16" s="44">
        <f>VLOOKUP(D16,Vorgaben!$H$10:$J$16,3,0)</f>
        <v>0</v>
      </c>
      <c r="C16" s="45">
        <f t="shared" si="6"/>
        <v>44564</v>
      </c>
      <c r="D16" s="51" t="str">
        <f t="shared" si="0"/>
        <v>Sonntag</v>
      </c>
      <c r="E16" s="22"/>
      <c r="F16" s="22"/>
      <c r="G16" s="47">
        <f t="shared" si="1"/>
        <v>0</v>
      </c>
      <c r="H16" s="22"/>
      <c r="I16" s="22"/>
      <c r="J16" s="47">
        <f t="shared" si="2"/>
        <v>0</v>
      </c>
      <c r="K16" s="22"/>
      <c r="L16" s="22"/>
      <c r="M16" s="47">
        <f t="shared" si="3"/>
        <v>0</v>
      </c>
      <c r="N16" s="22"/>
      <c r="O16" s="22"/>
      <c r="P16" s="25"/>
      <c r="Q16" s="47">
        <f t="shared" si="4"/>
        <v>0</v>
      </c>
      <c r="R16" s="48">
        <f t="shared" si="5"/>
        <v>0</v>
      </c>
      <c r="S16" s="49">
        <f t="shared" si="7"/>
        <v>0</v>
      </c>
      <c r="T16" s="50">
        <f>VLOOKUP(D16,Vorgaben!$H$10:$J$16,3,0)</f>
        <v>0</v>
      </c>
      <c r="U16" s="49">
        <f>T16+U15</f>
        <v>0.58333333333333337</v>
      </c>
      <c r="V16" s="69">
        <f t="shared" si="8"/>
        <v>0</v>
      </c>
      <c r="W16" s="69">
        <f t="shared" si="9"/>
        <v>0</v>
      </c>
      <c r="X16" s="176"/>
      <c r="Y16" s="52"/>
      <c r="Z16" s="53"/>
    </row>
    <row r="17" spans="2:26" ht="17.100000000000001" customHeight="1">
      <c r="B17" s="44">
        <f>VLOOKUP(D17,Vorgaben!$H$10:$J$16,3,0)</f>
        <v>0.29166666666666669</v>
      </c>
      <c r="C17" s="45">
        <f t="shared" si="6"/>
        <v>44565</v>
      </c>
      <c r="D17" s="51" t="str">
        <f t="shared" si="0"/>
        <v>Montag</v>
      </c>
      <c r="E17" s="22"/>
      <c r="F17" s="22"/>
      <c r="G17" s="47">
        <f t="shared" si="1"/>
        <v>0</v>
      </c>
      <c r="H17" s="22"/>
      <c r="I17" s="22"/>
      <c r="J17" s="47">
        <f>IF(H17="",0,IF(K17="",0,K17-I17))</f>
        <v>0</v>
      </c>
      <c r="K17" s="22"/>
      <c r="L17" s="22"/>
      <c r="M17" s="47">
        <f>IF(K17="",0,IF(N17="",0,N17-L17))</f>
        <v>0</v>
      </c>
      <c r="N17" s="22"/>
      <c r="O17" s="22"/>
      <c r="P17" s="25"/>
      <c r="Q17" s="47">
        <f t="shared" si="4"/>
        <v>0</v>
      </c>
      <c r="R17" s="48">
        <f t="shared" si="5"/>
        <v>0</v>
      </c>
      <c r="S17" s="49">
        <f t="shared" si="7"/>
        <v>0</v>
      </c>
      <c r="T17" s="50">
        <f>VLOOKUP(D17,Vorgaben!$H$10:$J$16,3,0)</f>
        <v>0.29166666666666669</v>
      </c>
      <c r="U17" s="49">
        <f>T17+U16</f>
        <v>0.875</v>
      </c>
      <c r="V17" s="69">
        <f t="shared" si="8"/>
        <v>0</v>
      </c>
      <c r="W17" s="69">
        <f t="shared" si="9"/>
        <v>0</v>
      </c>
      <c r="X17" s="176"/>
      <c r="Y17" s="54"/>
      <c r="Z17" s="53"/>
    </row>
    <row r="18" spans="2:26" ht="17.100000000000001" customHeight="1">
      <c r="B18" s="44">
        <f>VLOOKUP(D18,Vorgaben!$H$10:$J$16,3,0)</f>
        <v>0.29166666666666669</v>
      </c>
      <c r="C18" s="45">
        <f t="shared" si="6"/>
        <v>44566</v>
      </c>
      <c r="D18" s="51" t="str">
        <f t="shared" si="0"/>
        <v>Dienstag</v>
      </c>
      <c r="E18" s="26"/>
      <c r="F18" s="26"/>
      <c r="G18" s="47">
        <f t="shared" si="1"/>
        <v>0</v>
      </c>
      <c r="H18" s="26"/>
      <c r="I18" s="26"/>
      <c r="J18" s="47">
        <f t="shared" ref="J18:J43" si="10">IF(H18="",0,IF(K18="",0,K18-I18))</f>
        <v>0</v>
      </c>
      <c r="K18" s="26"/>
      <c r="L18" s="26"/>
      <c r="M18" s="47">
        <f t="shared" ref="M18:M43" si="11">IF(K18="",0,IF(N18="",0,N18-L18))</f>
        <v>0</v>
      </c>
      <c r="N18" s="26"/>
      <c r="O18" s="26"/>
      <c r="P18" s="25"/>
      <c r="Q18" s="47">
        <f t="shared" si="4"/>
        <v>0</v>
      </c>
      <c r="R18" s="48">
        <f t="shared" si="5"/>
        <v>0</v>
      </c>
      <c r="S18" s="49">
        <f t="shared" si="7"/>
        <v>0</v>
      </c>
      <c r="T18" s="50">
        <f>VLOOKUP(D18,Vorgaben!$H$10:$J$16,3,0)</f>
        <v>0.29166666666666669</v>
      </c>
      <c r="U18" s="49">
        <f t="shared" ref="U18:U43" si="12">T18+U17</f>
        <v>1.1666666666666667</v>
      </c>
      <c r="V18" s="69">
        <f t="shared" si="8"/>
        <v>0</v>
      </c>
      <c r="W18" s="69">
        <f t="shared" si="9"/>
        <v>0</v>
      </c>
      <c r="X18" s="176"/>
      <c r="Y18" s="52"/>
      <c r="Z18" s="53"/>
    </row>
    <row r="19" spans="2:26" ht="17.100000000000001" customHeight="1">
      <c r="B19" s="44">
        <f>VLOOKUP(D19,Vorgaben!$H$10:$J$16,3,0)</f>
        <v>0.29166666666666669</v>
      </c>
      <c r="C19" s="45">
        <f t="shared" si="6"/>
        <v>44567</v>
      </c>
      <c r="D19" s="51" t="str">
        <f t="shared" si="0"/>
        <v>Mittwoch</v>
      </c>
      <c r="E19" s="26"/>
      <c r="F19" s="26"/>
      <c r="G19" s="47">
        <f t="shared" si="1"/>
        <v>0</v>
      </c>
      <c r="H19" s="26"/>
      <c r="I19" s="26"/>
      <c r="J19" s="47">
        <f t="shared" si="10"/>
        <v>0</v>
      </c>
      <c r="K19" s="26"/>
      <c r="L19" s="26"/>
      <c r="M19" s="47">
        <f t="shared" si="11"/>
        <v>0</v>
      </c>
      <c r="N19" s="26"/>
      <c r="O19" s="26"/>
      <c r="P19" s="25"/>
      <c r="Q19" s="47">
        <f t="shared" si="4"/>
        <v>0</v>
      </c>
      <c r="R19" s="48">
        <f t="shared" si="5"/>
        <v>0</v>
      </c>
      <c r="S19" s="49">
        <f t="shared" si="7"/>
        <v>0</v>
      </c>
      <c r="T19" s="50">
        <f>VLOOKUP(D19,Vorgaben!$H$10:$J$16,3,0)</f>
        <v>0.29166666666666669</v>
      </c>
      <c r="U19" s="49">
        <f t="shared" si="12"/>
        <v>1.4583333333333335</v>
      </c>
      <c r="V19" s="69">
        <f t="shared" si="8"/>
        <v>0</v>
      </c>
      <c r="W19" s="69">
        <f t="shared" si="9"/>
        <v>0</v>
      </c>
      <c r="X19" s="176"/>
      <c r="Y19" s="4"/>
      <c r="Z19" s="53"/>
    </row>
    <row r="20" spans="2:26" ht="17.100000000000001" customHeight="1">
      <c r="B20" s="44">
        <f>VLOOKUP(D20,Vorgaben!$H$10:$J$16,3,0)</f>
        <v>0.29166666666666669</v>
      </c>
      <c r="C20" s="45">
        <f t="shared" si="6"/>
        <v>44568</v>
      </c>
      <c r="D20" s="51" t="str">
        <f t="shared" si="0"/>
        <v>Donnerstag</v>
      </c>
      <c r="E20" s="22"/>
      <c r="F20" s="22"/>
      <c r="G20" s="47">
        <f t="shared" si="1"/>
        <v>0</v>
      </c>
      <c r="H20" s="22"/>
      <c r="I20" s="22"/>
      <c r="J20" s="47">
        <f t="shared" si="10"/>
        <v>0</v>
      </c>
      <c r="K20" s="22"/>
      <c r="L20" s="22"/>
      <c r="M20" s="47">
        <f t="shared" si="11"/>
        <v>0</v>
      </c>
      <c r="N20" s="22"/>
      <c r="O20" s="22"/>
      <c r="P20" s="25"/>
      <c r="Q20" s="47">
        <f t="shared" si="4"/>
        <v>0</v>
      </c>
      <c r="R20" s="48">
        <f t="shared" si="5"/>
        <v>0</v>
      </c>
      <c r="S20" s="49">
        <f t="shared" si="7"/>
        <v>0</v>
      </c>
      <c r="T20" s="50">
        <f>VLOOKUP(D20,Vorgaben!$H$10:$J$16,3,0)</f>
        <v>0.29166666666666669</v>
      </c>
      <c r="U20" s="49">
        <f t="shared" si="12"/>
        <v>1.7500000000000002</v>
      </c>
      <c r="V20" s="69">
        <f t="shared" si="8"/>
        <v>0</v>
      </c>
      <c r="W20" s="69">
        <f t="shared" si="9"/>
        <v>0</v>
      </c>
      <c r="X20" s="176"/>
      <c r="Y20" s="4"/>
      <c r="Z20" s="53"/>
    </row>
    <row r="21" spans="2:26" ht="17.100000000000001" customHeight="1">
      <c r="B21" s="44">
        <f>VLOOKUP(D21,Vorgaben!$H$10:$J$16,3,0)</f>
        <v>0.29166666666666669</v>
      </c>
      <c r="C21" s="45">
        <f t="shared" si="6"/>
        <v>44569</v>
      </c>
      <c r="D21" s="51" t="str">
        <f t="shared" si="0"/>
        <v>Freitag</v>
      </c>
      <c r="E21" s="22"/>
      <c r="F21" s="22"/>
      <c r="G21" s="47">
        <f t="shared" si="1"/>
        <v>0</v>
      </c>
      <c r="H21" s="22"/>
      <c r="I21" s="22"/>
      <c r="J21" s="47">
        <f t="shared" si="10"/>
        <v>0</v>
      </c>
      <c r="K21" s="22"/>
      <c r="L21" s="22"/>
      <c r="M21" s="47">
        <f t="shared" si="11"/>
        <v>0</v>
      </c>
      <c r="N21" s="22"/>
      <c r="O21" s="22"/>
      <c r="P21" s="25"/>
      <c r="Q21" s="47">
        <f t="shared" si="4"/>
        <v>0</v>
      </c>
      <c r="R21" s="48">
        <f t="shared" si="5"/>
        <v>0</v>
      </c>
      <c r="S21" s="49">
        <f t="shared" si="7"/>
        <v>0</v>
      </c>
      <c r="T21" s="50">
        <f>VLOOKUP(D21,Vorgaben!$H$10:$J$16,3,0)</f>
        <v>0.29166666666666669</v>
      </c>
      <c r="U21" s="49">
        <f t="shared" si="12"/>
        <v>2.041666666666667</v>
      </c>
      <c r="V21" s="69">
        <f>IF(AND(E21+F21+H21+I21+K21+L21=0,P21=""),0,R21-T21)</f>
        <v>0</v>
      </c>
      <c r="W21" s="69">
        <f>V21+W20</f>
        <v>0</v>
      </c>
      <c r="X21" s="176"/>
      <c r="Y21" s="4"/>
      <c r="Z21" s="53"/>
    </row>
    <row r="22" spans="2:26" ht="17.100000000000001" customHeight="1">
      <c r="B22" s="44">
        <f>VLOOKUP(D22,Vorgaben!$H$10:$J$16,3,0)</f>
        <v>0</v>
      </c>
      <c r="C22" s="45">
        <f t="shared" si="6"/>
        <v>44570</v>
      </c>
      <c r="D22" s="51" t="str">
        <f t="shared" si="0"/>
        <v>Samstag</v>
      </c>
      <c r="E22" s="22"/>
      <c r="F22" s="22"/>
      <c r="G22" s="47">
        <f t="shared" si="1"/>
        <v>0</v>
      </c>
      <c r="H22" s="22"/>
      <c r="I22" s="22"/>
      <c r="J22" s="47">
        <f t="shared" si="10"/>
        <v>0</v>
      </c>
      <c r="K22" s="22"/>
      <c r="L22" s="22"/>
      <c r="M22" s="47">
        <f t="shared" si="11"/>
        <v>0</v>
      </c>
      <c r="N22" s="22"/>
      <c r="O22" s="22"/>
      <c r="P22" s="25"/>
      <c r="Q22" s="47">
        <f t="shared" si="4"/>
        <v>0</v>
      </c>
      <c r="R22" s="48">
        <f t="shared" si="5"/>
        <v>0</v>
      </c>
      <c r="S22" s="49">
        <f t="shared" si="7"/>
        <v>0</v>
      </c>
      <c r="T22" s="50">
        <f>VLOOKUP(D22,Vorgaben!$H$10:$J$16,3,0)</f>
        <v>0</v>
      </c>
      <c r="U22" s="49">
        <f t="shared" si="12"/>
        <v>2.041666666666667</v>
      </c>
      <c r="V22" s="69">
        <f t="shared" si="8"/>
        <v>0</v>
      </c>
      <c r="W22" s="69">
        <f t="shared" si="9"/>
        <v>0</v>
      </c>
      <c r="X22" s="176"/>
      <c r="Y22" s="4"/>
      <c r="Z22" s="53"/>
    </row>
    <row r="23" spans="2:26" ht="17.100000000000001" customHeight="1">
      <c r="B23" s="44">
        <f>VLOOKUP(D23,Vorgaben!$H$10:$J$16,3,0)</f>
        <v>0</v>
      </c>
      <c r="C23" s="45">
        <f t="shared" si="6"/>
        <v>44571</v>
      </c>
      <c r="D23" s="51" t="str">
        <f t="shared" si="0"/>
        <v>Sonntag</v>
      </c>
      <c r="E23" s="22"/>
      <c r="F23" s="22"/>
      <c r="G23" s="47">
        <f t="shared" si="1"/>
        <v>0</v>
      </c>
      <c r="H23" s="22"/>
      <c r="I23" s="22"/>
      <c r="J23" s="47">
        <f t="shared" si="10"/>
        <v>0</v>
      </c>
      <c r="K23" s="22"/>
      <c r="L23" s="22"/>
      <c r="M23" s="47">
        <f t="shared" si="11"/>
        <v>0</v>
      </c>
      <c r="N23" s="22"/>
      <c r="O23" s="22"/>
      <c r="P23" s="25"/>
      <c r="Q23" s="47">
        <f t="shared" si="4"/>
        <v>0</v>
      </c>
      <c r="R23" s="48">
        <f t="shared" si="5"/>
        <v>0</v>
      </c>
      <c r="S23" s="49">
        <f t="shared" si="7"/>
        <v>0</v>
      </c>
      <c r="T23" s="50">
        <f>VLOOKUP(D23,Vorgaben!$H$10:$J$16,3,0)</f>
        <v>0</v>
      </c>
      <c r="U23" s="49">
        <f t="shared" si="12"/>
        <v>2.041666666666667</v>
      </c>
      <c r="V23" s="69">
        <f t="shared" si="8"/>
        <v>0</v>
      </c>
      <c r="W23" s="69">
        <f t="shared" si="9"/>
        <v>0</v>
      </c>
      <c r="X23" s="176"/>
      <c r="Y23" s="4"/>
      <c r="Z23" s="53"/>
    </row>
    <row r="24" spans="2:26" ht="17.100000000000001" customHeight="1">
      <c r="B24" s="44">
        <f>VLOOKUP(D24,Vorgaben!$H$10:$J$16,3,0)</f>
        <v>0.29166666666666669</v>
      </c>
      <c r="C24" s="45">
        <f t="shared" si="6"/>
        <v>44572</v>
      </c>
      <c r="D24" s="51" t="str">
        <f t="shared" si="0"/>
        <v>Montag</v>
      </c>
      <c r="E24" s="22"/>
      <c r="F24" s="22"/>
      <c r="G24" s="47">
        <f t="shared" si="1"/>
        <v>0</v>
      </c>
      <c r="H24" s="22"/>
      <c r="I24" s="22"/>
      <c r="J24" s="47">
        <f t="shared" si="10"/>
        <v>0</v>
      </c>
      <c r="K24" s="22"/>
      <c r="L24" s="22"/>
      <c r="M24" s="47">
        <f t="shared" si="11"/>
        <v>0</v>
      </c>
      <c r="N24" s="22"/>
      <c r="O24" s="22"/>
      <c r="P24" s="25"/>
      <c r="Q24" s="47">
        <f t="shared" si="4"/>
        <v>0</v>
      </c>
      <c r="R24" s="48">
        <f t="shared" si="5"/>
        <v>0</v>
      </c>
      <c r="S24" s="49">
        <f t="shared" si="7"/>
        <v>0</v>
      </c>
      <c r="T24" s="50">
        <f>VLOOKUP(D24,Vorgaben!$H$10:$J$16,3,0)</f>
        <v>0.29166666666666669</v>
      </c>
      <c r="U24" s="49">
        <f t="shared" si="12"/>
        <v>2.3333333333333335</v>
      </c>
      <c r="V24" s="69">
        <f t="shared" si="8"/>
        <v>0</v>
      </c>
      <c r="W24" s="69">
        <f t="shared" si="9"/>
        <v>0</v>
      </c>
      <c r="X24" s="176"/>
      <c r="Y24" s="4"/>
      <c r="Z24" s="53"/>
    </row>
    <row r="25" spans="2:26" ht="17.100000000000001" customHeight="1">
      <c r="B25" s="44">
        <f>VLOOKUP(D25,Vorgaben!$H$10:$J$16,3,0)</f>
        <v>0.29166666666666669</v>
      </c>
      <c r="C25" s="45">
        <f t="shared" si="6"/>
        <v>44573</v>
      </c>
      <c r="D25" s="51" t="str">
        <f t="shared" si="0"/>
        <v>Dienstag</v>
      </c>
      <c r="E25" s="22"/>
      <c r="F25" s="22"/>
      <c r="G25" s="47">
        <f t="shared" si="1"/>
        <v>0</v>
      </c>
      <c r="H25" s="22"/>
      <c r="I25" s="22"/>
      <c r="J25" s="47">
        <f t="shared" si="10"/>
        <v>0</v>
      </c>
      <c r="K25" s="22"/>
      <c r="L25" s="22"/>
      <c r="M25" s="47">
        <f t="shared" si="11"/>
        <v>0</v>
      </c>
      <c r="N25" s="22"/>
      <c r="O25" s="22"/>
      <c r="P25" s="25"/>
      <c r="Q25" s="47">
        <f t="shared" si="4"/>
        <v>0</v>
      </c>
      <c r="R25" s="48">
        <f t="shared" si="5"/>
        <v>0</v>
      </c>
      <c r="S25" s="49">
        <f t="shared" si="7"/>
        <v>0</v>
      </c>
      <c r="T25" s="50">
        <f>VLOOKUP(D25,Vorgaben!$H$10:$J$16,3,0)</f>
        <v>0.29166666666666669</v>
      </c>
      <c r="U25" s="49">
        <f t="shared" si="12"/>
        <v>2.625</v>
      </c>
      <c r="V25" s="69">
        <f t="shared" si="8"/>
        <v>0</v>
      </c>
      <c r="W25" s="69">
        <f t="shared" si="9"/>
        <v>0</v>
      </c>
      <c r="X25" s="176"/>
      <c r="Y25" s="4"/>
      <c r="Z25" s="53"/>
    </row>
    <row r="26" spans="2:26" ht="17.100000000000001" customHeight="1">
      <c r="B26" s="44">
        <f>VLOOKUP(D26,Vorgaben!$H$10:$J$16,3,0)</f>
        <v>0.29166666666666669</v>
      </c>
      <c r="C26" s="45">
        <f t="shared" si="6"/>
        <v>44574</v>
      </c>
      <c r="D26" s="51" t="str">
        <f t="shared" si="0"/>
        <v>Mittwoch</v>
      </c>
      <c r="E26" s="22"/>
      <c r="F26" s="22"/>
      <c r="G26" s="47">
        <f t="shared" si="1"/>
        <v>0</v>
      </c>
      <c r="H26" s="22"/>
      <c r="I26" s="22"/>
      <c r="J26" s="47">
        <f t="shared" si="10"/>
        <v>0</v>
      </c>
      <c r="K26" s="22"/>
      <c r="L26" s="22"/>
      <c r="M26" s="47">
        <f t="shared" si="11"/>
        <v>0</v>
      </c>
      <c r="N26" s="22"/>
      <c r="O26" s="22"/>
      <c r="P26" s="25"/>
      <c r="Q26" s="47">
        <f t="shared" si="4"/>
        <v>0</v>
      </c>
      <c r="R26" s="48">
        <f t="shared" si="5"/>
        <v>0</v>
      </c>
      <c r="S26" s="49">
        <f t="shared" si="7"/>
        <v>0</v>
      </c>
      <c r="T26" s="50">
        <f>VLOOKUP(D26,Vorgaben!$H$10:$J$16,3,0)</f>
        <v>0.29166666666666669</v>
      </c>
      <c r="U26" s="49">
        <f t="shared" si="12"/>
        <v>2.9166666666666665</v>
      </c>
      <c r="V26" s="69">
        <f t="shared" si="8"/>
        <v>0</v>
      </c>
      <c r="W26" s="69">
        <f t="shared" si="9"/>
        <v>0</v>
      </c>
      <c r="X26" s="176"/>
      <c r="Y26" s="4"/>
      <c r="Z26" s="53"/>
    </row>
    <row r="27" spans="2:26" ht="17.100000000000001" customHeight="1">
      <c r="B27" s="44">
        <f>VLOOKUP(D27,Vorgaben!$H$10:$J$16,3,0)</f>
        <v>0.29166666666666669</v>
      </c>
      <c r="C27" s="45">
        <f t="shared" si="6"/>
        <v>44575</v>
      </c>
      <c r="D27" s="51" t="str">
        <f t="shared" si="0"/>
        <v>Donnerstag</v>
      </c>
      <c r="E27" s="22"/>
      <c r="F27" s="22"/>
      <c r="G27" s="47">
        <f t="shared" si="1"/>
        <v>0</v>
      </c>
      <c r="H27" s="22"/>
      <c r="I27" s="22"/>
      <c r="J27" s="47">
        <f t="shared" si="10"/>
        <v>0</v>
      </c>
      <c r="K27" s="22"/>
      <c r="L27" s="22"/>
      <c r="M27" s="47">
        <f t="shared" si="11"/>
        <v>0</v>
      </c>
      <c r="N27" s="22"/>
      <c r="O27" s="22"/>
      <c r="P27" s="25"/>
      <c r="Q27" s="47">
        <f t="shared" si="4"/>
        <v>0</v>
      </c>
      <c r="R27" s="48">
        <f t="shared" si="5"/>
        <v>0</v>
      </c>
      <c r="S27" s="49">
        <f t="shared" si="7"/>
        <v>0</v>
      </c>
      <c r="T27" s="50">
        <f>VLOOKUP(D27,Vorgaben!$H$10:$J$16,3,0)</f>
        <v>0.29166666666666669</v>
      </c>
      <c r="U27" s="49">
        <f t="shared" si="12"/>
        <v>3.208333333333333</v>
      </c>
      <c r="V27" s="69">
        <f t="shared" si="8"/>
        <v>0</v>
      </c>
      <c r="W27" s="69">
        <f t="shared" si="9"/>
        <v>0</v>
      </c>
      <c r="X27" s="176"/>
      <c r="Y27" s="4"/>
      <c r="Z27" s="53"/>
    </row>
    <row r="28" spans="2:26" ht="17.100000000000001" customHeight="1">
      <c r="B28" s="44">
        <f>VLOOKUP(D28,Vorgaben!$H$10:$J$16,3,0)</f>
        <v>0.29166666666666669</v>
      </c>
      <c r="C28" s="45">
        <f t="shared" si="6"/>
        <v>44576</v>
      </c>
      <c r="D28" s="51" t="str">
        <f t="shared" si="0"/>
        <v>Freitag</v>
      </c>
      <c r="E28" s="22"/>
      <c r="F28" s="22"/>
      <c r="G28" s="47">
        <f t="shared" si="1"/>
        <v>0</v>
      </c>
      <c r="H28" s="22"/>
      <c r="I28" s="22"/>
      <c r="J28" s="47">
        <f t="shared" si="10"/>
        <v>0</v>
      </c>
      <c r="K28" s="22"/>
      <c r="L28" s="22"/>
      <c r="M28" s="47">
        <f t="shared" si="11"/>
        <v>0</v>
      </c>
      <c r="N28" s="22"/>
      <c r="O28" s="22"/>
      <c r="P28" s="25"/>
      <c r="Q28" s="47">
        <f t="shared" si="4"/>
        <v>0</v>
      </c>
      <c r="R28" s="48">
        <f t="shared" si="5"/>
        <v>0</v>
      </c>
      <c r="S28" s="49">
        <f t="shared" si="7"/>
        <v>0</v>
      </c>
      <c r="T28" s="50">
        <f>VLOOKUP(D28,Vorgaben!$H$10:$J$16,3,0)</f>
        <v>0.29166666666666669</v>
      </c>
      <c r="U28" s="49">
        <f t="shared" si="12"/>
        <v>3.4999999999999996</v>
      </c>
      <c r="V28" s="69">
        <f t="shared" si="8"/>
        <v>0</v>
      </c>
      <c r="W28" s="69">
        <f t="shared" si="9"/>
        <v>0</v>
      </c>
      <c r="X28" s="176"/>
      <c r="Y28" s="4"/>
      <c r="Z28" s="53"/>
    </row>
    <row r="29" spans="2:26" ht="17.100000000000001" customHeight="1">
      <c r="B29" s="44">
        <f>VLOOKUP(D29,Vorgaben!$H$10:$J$16,3,0)</f>
        <v>0</v>
      </c>
      <c r="C29" s="45">
        <f t="shared" si="6"/>
        <v>44577</v>
      </c>
      <c r="D29" s="51" t="str">
        <f t="shared" si="0"/>
        <v>Samstag</v>
      </c>
      <c r="E29" s="22"/>
      <c r="F29" s="22"/>
      <c r="G29" s="47">
        <f t="shared" si="1"/>
        <v>0</v>
      </c>
      <c r="H29" s="22"/>
      <c r="I29" s="22"/>
      <c r="J29" s="47">
        <f t="shared" si="10"/>
        <v>0</v>
      </c>
      <c r="K29" s="22"/>
      <c r="L29" s="22"/>
      <c r="M29" s="47">
        <f t="shared" si="11"/>
        <v>0</v>
      </c>
      <c r="N29" s="22"/>
      <c r="O29" s="22"/>
      <c r="P29" s="25"/>
      <c r="Q29" s="47">
        <f t="shared" si="4"/>
        <v>0</v>
      </c>
      <c r="R29" s="48">
        <f t="shared" si="5"/>
        <v>0</v>
      </c>
      <c r="S29" s="49">
        <f t="shared" si="7"/>
        <v>0</v>
      </c>
      <c r="T29" s="50">
        <f>VLOOKUP(D29,Vorgaben!$H$10:$J$16,3,0)</f>
        <v>0</v>
      </c>
      <c r="U29" s="49">
        <f t="shared" si="12"/>
        <v>3.4999999999999996</v>
      </c>
      <c r="V29" s="69">
        <f t="shared" si="8"/>
        <v>0</v>
      </c>
      <c r="W29" s="69">
        <f t="shared" si="9"/>
        <v>0</v>
      </c>
      <c r="X29" s="176"/>
      <c r="Y29" s="4"/>
      <c r="Z29" s="53"/>
    </row>
    <row r="30" spans="2:26" ht="17.100000000000001" customHeight="1">
      <c r="B30" s="44">
        <f>VLOOKUP(D30,Vorgaben!$H$10:$J$16,3,0)</f>
        <v>0</v>
      </c>
      <c r="C30" s="45">
        <f t="shared" si="6"/>
        <v>44578</v>
      </c>
      <c r="D30" s="51" t="str">
        <f t="shared" si="0"/>
        <v>Sonntag</v>
      </c>
      <c r="E30" s="22"/>
      <c r="F30" s="22"/>
      <c r="G30" s="47">
        <f t="shared" si="1"/>
        <v>0</v>
      </c>
      <c r="H30" s="22"/>
      <c r="I30" s="22"/>
      <c r="J30" s="47">
        <f t="shared" si="10"/>
        <v>0</v>
      </c>
      <c r="K30" s="22"/>
      <c r="L30" s="22"/>
      <c r="M30" s="47">
        <f t="shared" si="11"/>
        <v>0</v>
      </c>
      <c r="N30" s="22"/>
      <c r="O30" s="22"/>
      <c r="P30" s="25"/>
      <c r="Q30" s="47">
        <f t="shared" si="4"/>
        <v>0</v>
      </c>
      <c r="R30" s="48">
        <f t="shared" si="5"/>
        <v>0</v>
      </c>
      <c r="S30" s="49">
        <f t="shared" si="7"/>
        <v>0</v>
      </c>
      <c r="T30" s="50">
        <f>VLOOKUP(D30,Vorgaben!$H$10:$J$16,3,0)</f>
        <v>0</v>
      </c>
      <c r="U30" s="49">
        <f t="shared" si="12"/>
        <v>3.4999999999999996</v>
      </c>
      <c r="V30" s="69">
        <f t="shared" si="8"/>
        <v>0</v>
      </c>
      <c r="W30" s="69">
        <f t="shared" si="9"/>
        <v>0</v>
      </c>
      <c r="X30" s="176"/>
      <c r="Y30" s="4"/>
      <c r="Z30" s="53"/>
    </row>
    <row r="31" spans="2:26" ht="17.100000000000001" customHeight="1">
      <c r="B31" s="44">
        <f>VLOOKUP(D31,Vorgaben!$H$10:$J$16,3,0)</f>
        <v>0.29166666666666669</v>
      </c>
      <c r="C31" s="45">
        <f t="shared" si="6"/>
        <v>44579</v>
      </c>
      <c r="D31" s="51" t="str">
        <f t="shared" si="0"/>
        <v>Montag</v>
      </c>
      <c r="E31" s="22"/>
      <c r="F31" s="22"/>
      <c r="G31" s="47">
        <f t="shared" si="1"/>
        <v>0</v>
      </c>
      <c r="H31" s="22"/>
      <c r="I31" s="22"/>
      <c r="J31" s="47">
        <f t="shared" si="10"/>
        <v>0</v>
      </c>
      <c r="K31" s="22"/>
      <c r="L31" s="22"/>
      <c r="M31" s="47">
        <f t="shared" si="11"/>
        <v>0</v>
      </c>
      <c r="N31" s="22"/>
      <c r="O31" s="22"/>
      <c r="P31" s="25"/>
      <c r="Q31" s="47">
        <f t="shared" si="4"/>
        <v>0</v>
      </c>
      <c r="R31" s="48">
        <f t="shared" si="5"/>
        <v>0</v>
      </c>
      <c r="S31" s="49">
        <f t="shared" si="7"/>
        <v>0</v>
      </c>
      <c r="T31" s="50">
        <f>VLOOKUP(D31,Vorgaben!$H$10:$J$16,3,0)</f>
        <v>0.29166666666666669</v>
      </c>
      <c r="U31" s="49">
        <f t="shared" si="12"/>
        <v>3.7916666666666661</v>
      </c>
      <c r="V31" s="69">
        <f t="shared" si="8"/>
        <v>0</v>
      </c>
      <c r="W31" s="69">
        <f t="shared" si="9"/>
        <v>0</v>
      </c>
      <c r="X31" s="176"/>
      <c r="Y31" s="4"/>
      <c r="Z31" s="53"/>
    </row>
    <row r="32" spans="2:26" ht="17.100000000000001" customHeight="1">
      <c r="B32" s="44">
        <f>VLOOKUP(D32,Vorgaben!$H$10:$J$16,3,0)</f>
        <v>0.29166666666666669</v>
      </c>
      <c r="C32" s="45">
        <f t="shared" si="6"/>
        <v>44580</v>
      </c>
      <c r="D32" s="51" t="str">
        <f t="shared" si="0"/>
        <v>Dienstag</v>
      </c>
      <c r="E32" s="22"/>
      <c r="F32" s="22"/>
      <c r="G32" s="47">
        <f t="shared" si="1"/>
        <v>0</v>
      </c>
      <c r="H32" s="22"/>
      <c r="I32" s="22"/>
      <c r="J32" s="47">
        <f t="shared" si="10"/>
        <v>0</v>
      </c>
      <c r="K32" s="22"/>
      <c r="L32" s="22"/>
      <c r="M32" s="47">
        <f t="shared" si="11"/>
        <v>0</v>
      </c>
      <c r="N32" s="22"/>
      <c r="O32" s="22"/>
      <c r="P32" s="25"/>
      <c r="Q32" s="47">
        <f t="shared" si="4"/>
        <v>0</v>
      </c>
      <c r="R32" s="48">
        <f t="shared" si="5"/>
        <v>0</v>
      </c>
      <c r="S32" s="49">
        <f t="shared" si="7"/>
        <v>0</v>
      </c>
      <c r="T32" s="50">
        <f>VLOOKUP(D32,Vorgaben!$H$10:$J$16,3,0)</f>
        <v>0.29166666666666669</v>
      </c>
      <c r="U32" s="49">
        <f t="shared" si="12"/>
        <v>4.083333333333333</v>
      </c>
      <c r="V32" s="69">
        <f>IF(AND(E32+F32+H32+I32+K32+L32=0,P32=""),0,R32-T32)</f>
        <v>0</v>
      </c>
      <c r="W32" s="69">
        <f t="shared" si="9"/>
        <v>0</v>
      </c>
      <c r="X32" s="176"/>
      <c r="Y32" s="4"/>
      <c r="Z32" s="53"/>
    </row>
    <row r="33" spans="2:26" ht="17.100000000000001" customHeight="1">
      <c r="B33" s="44">
        <f>VLOOKUP(D33,Vorgaben!$H$10:$J$16,3,0)</f>
        <v>0.29166666666666669</v>
      </c>
      <c r="C33" s="45">
        <f t="shared" si="6"/>
        <v>44581</v>
      </c>
      <c r="D33" s="51" t="str">
        <f t="shared" si="0"/>
        <v>Mittwoch</v>
      </c>
      <c r="E33" s="22"/>
      <c r="F33" s="22"/>
      <c r="G33" s="47">
        <f t="shared" si="1"/>
        <v>0</v>
      </c>
      <c r="H33" s="22"/>
      <c r="I33" s="22"/>
      <c r="J33" s="47">
        <f t="shared" si="10"/>
        <v>0</v>
      </c>
      <c r="K33" s="22"/>
      <c r="L33" s="22"/>
      <c r="M33" s="47">
        <f t="shared" si="11"/>
        <v>0</v>
      </c>
      <c r="N33" s="22"/>
      <c r="O33" s="22"/>
      <c r="P33" s="25"/>
      <c r="Q33" s="47">
        <f t="shared" si="4"/>
        <v>0</v>
      </c>
      <c r="R33" s="48">
        <f t="shared" si="5"/>
        <v>0</v>
      </c>
      <c r="S33" s="49">
        <f t="shared" si="7"/>
        <v>0</v>
      </c>
      <c r="T33" s="50">
        <f>VLOOKUP(D33,Vorgaben!$H$10:$J$16,3,0)</f>
        <v>0.29166666666666669</v>
      </c>
      <c r="U33" s="49">
        <f t="shared" si="12"/>
        <v>4.375</v>
      </c>
      <c r="V33" s="69">
        <f t="shared" si="8"/>
        <v>0</v>
      </c>
      <c r="W33" s="69">
        <f t="shared" si="9"/>
        <v>0</v>
      </c>
      <c r="X33" s="176"/>
      <c r="Y33" s="4"/>
      <c r="Z33" s="53"/>
    </row>
    <row r="34" spans="2:26" ht="17.100000000000001" customHeight="1">
      <c r="B34" s="44">
        <f>VLOOKUP(D34,Vorgaben!$H$10:$J$16,3,0)</f>
        <v>0.29166666666666669</v>
      </c>
      <c r="C34" s="45">
        <f t="shared" si="6"/>
        <v>44582</v>
      </c>
      <c r="D34" s="51" t="str">
        <f t="shared" si="0"/>
        <v>Donnerstag</v>
      </c>
      <c r="E34" s="22"/>
      <c r="F34" s="22"/>
      <c r="G34" s="47">
        <f t="shared" si="1"/>
        <v>0</v>
      </c>
      <c r="H34" s="22"/>
      <c r="I34" s="22"/>
      <c r="J34" s="47">
        <f t="shared" si="10"/>
        <v>0</v>
      </c>
      <c r="K34" s="22"/>
      <c r="L34" s="22"/>
      <c r="M34" s="47">
        <f t="shared" si="11"/>
        <v>0</v>
      </c>
      <c r="N34" s="22"/>
      <c r="O34" s="22"/>
      <c r="P34" s="25"/>
      <c r="Q34" s="47">
        <f>IF(F34=0,0,IF(F34-E34+I34-H34+L34-K34+O34-N34&gt;neun_h,0.3125,IF(AND(F34-E34+I34-H34+L34-K34+O34-N34&lt;=neun_h,F34-E34+I34-H34+L34-K34+O34-N34&gt;sechs_h),0.0208333333333333,0.00000000000000001)))</f>
        <v>0</v>
      </c>
      <c r="R34" s="48">
        <f t="shared" si="5"/>
        <v>0</v>
      </c>
      <c r="S34" s="49">
        <f t="shared" si="7"/>
        <v>0</v>
      </c>
      <c r="T34" s="50">
        <f>VLOOKUP(D34,Vorgaben!$H$10:$J$16,3,0)</f>
        <v>0.29166666666666669</v>
      </c>
      <c r="U34" s="49">
        <f t="shared" si="12"/>
        <v>4.666666666666667</v>
      </c>
      <c r="V34" s="69">
        <f t="shared" si="8"/>
        <v>0</v>
      </c>
      <c r="W34" s="69">
        <f t="shared" si="9"/>
        <v>0</v>
      </c>
      <c r="X34" s="176"/>
      <c r="Y34" s="4"/>
      <c r="Z34" s="53"/>
    </row>
    <row r="35" spans="2:26" ht="17.100000000000001" customHeight="1">
      <c r="B35" s="44">
        <f>VLOOKUP(D35,Vorgaben!$H$10:$J$16,3,0)</f>
        <v>0.29166666666666669</v>
      </c>
      <c r="C35" s="45">
        <f t="shared" si="6"/>
        <v>44583</v>
      </c>
      <c r="D35" s="51" t="str">
        <f t="shared" si="0"/>
        <v>Freitag</v>
      </c>
      <c r="E35" s="22"/>
      <c r="F35" s="22"/>
      <c r="G35" s="47">
        <f t="shared" si="1"/>
        <v>0</v>
      </c>
      <c r="H35" s="22"/>
      <c r="I35" s="22"/>
      <c r="J35" s="47">
        <f t="shared" si="10"/>
        <v>0</v>
      </c>
      <c r="K35" s="22"/>
      <c r="L35" s="22"/>
      <c r="M35" s="47">
        <f t="shared" si="11"/>
        <v>0</v>
      </c>
      <c r="N35" s="22"/>
      <c r="O35" s="22"/>
      <c r="P35" s="25"/>
      <c r="Q35" s="47">
        <f t="shared" si="4"/>
        <v>0</v>
      </c>
      <c r="R35" s="48">
        <f t="shared" si="5"/>
        <v>0</v>
      </c>
      <c r="S35" s="49">
        <f t="shared" si="7"/>
        <v>0</v>
      </c>
      <c r="T35" s="50">
        <f>VLOOKUP(D35,Vorgaben!$H$10:$J$16,3,0)</f>
        <v>0.29166666666666669</v>
      </c>
      <c r="U35" s="49">
        <f t="shared" si="12"/>
        <v>4.9583333333333339</v>
      </c>
      <c r="V35" s="69">
        <f t="shared" si="8"/>
        <v>0</v>
      </c>
      <c r="W35" s="69">
        <f t="shared" si="9"/>
        <v>0</v>
      </c>
      <c r="X35" s="176"/>
      <c r="Y35" s="4"/>
      <c r="Z35" s="53"/>
    </row>
    <row r="36" spans="2:26" ht="17.100000000000001" customHeight="1">
      <c r="B36" s="44">
        <f>VLOOKUP(D36,Vorgaben!$H$10:$J$16,3,0)</f>
        <v>0</v>
      </c>
      <c r="C36" s="45">
        <f t="shared" si="6"/>
        <v>44584</v>
      </c>
      <c r="D36" s="51" t="str">
        <f t="shared" si="0"/>
        <v>Samstag</v>
      </c>
      <c r="E36" s="22"/>
      <c r="F36" s="22"/>
      <c r="G36" s="47">
        <f t="shared" si="1"/>
        <v>0</v>
      </c>
      <c r="H36" s="22"/>
      <c r="I36" s="22"/>
      <c r="J36" s="47">
        <f t="shared" si="10"/>
        <v>0</v>
      </c>
      <c r="K36" s="22"/>
      <c r="L36" s="22"/>
      <c r="M36" s="47">
        <f t="shared" si="11"/>
        <v>0</v>
      </c>
      <c r="N36" s="22"/>
      <c r="O36" s="22"/>
      <c r="P36" s="25"/>
      <c r="Q36" s="47">
        <f t="shared" si="4"/>
        <v>0</v>
      </c>
      <c r="R36" s="48">
        <f t="shared" si="5"/>
        <v>0</v>
      </c>
      <c r="S36" s="49">
        <f t="shared" si="7"/>
        <v>0</v>
      </c>
      <c r="T36" s="50">
        <f>VLOOKUP(D36,Vorgaben!$H$10:$J$16,3,0)</f>
        <v>0</v>
      </c>
      <c r="U36" s="49">
        <f t="shared" si="12"/>
        <v>4.9583333333333339</v>
      </c>
      <c r="V36" s="69">
        <f t="shared" si="8"/>
        <v>0</v>
      </c>
      <c r="W36" s="69">
        <f t="shared" si="9"/>
        <v>0</v>
      </c>
      <c r="X36" s="176"/>
      <c r="Y36" s="4"/>
      <c r="Z36" s="53"/>
    </row>
    <row r="37" spans="2:26" ht="17.100000000000001" customHeight="1">
      <c r="B37" s="44">
        <f>VLOOKUP(D37,Vorgaben!$H$10:$J$16,3,0)</f>
        <v>0</v>
      </c>
      <c r="C37" s="45">
        <f t="shared" si="6"/>
        <v>44585</v>
      </c>
      <c r="D37" s="51" t="str">
        <f t="shared" si="0"/>
        <v>Sonntag</v>
      </c>
      <c r="E37" s="22"/>
      <c r="F37" s="22"/>
      <c r="G37" s="47">
        <f t="shared" si="1"/>
        <v>0</v>
      </c>
      <c r="H37" s="22"/>
      <c r="I37" s="22"/>
      <c r="J37" s="47">
        <f t="shared" si="10"/>
        <v>0</v>
      </c>
      <c r="K37" s="22"/>
      <c r="L37" s="22"/>
      <c r="M37" s="47">
        <f t="shared" si="11"/>
        <v>0</v>
      </c>
      <c r="N37" s="22"/>
      <c r="O37" s="22"/>
      <c r="P37" s="25"/>
      <c r="Q37" s="47">
        <f t="shared" si="4"/>
        <v>0</v>
      </c>
      <c r="R37" s="48">
        <f t="shared" si="5"/>
        <v>0</v>
      </c>
      <c r="S37" s="49">
        <f t="shared" si="7"/>
        <v>0</v>
      </c>
      <c r="T37" s="50">
        <f>VLOOKUP(D37,Vorgaben!$H$10:$J$16,3,0)</f>
        <v>0</v>
      </c>
      <c r="U37" s="49">
        <f t="shared" si="12"/>
        <v>4.9583333333333339</v>
      </c>
      <c r="V37" s="69">
        <f t="shared" si="8"/>
        <v>0</v>
      </c>
      <c r="W37" s="69">
        <f t="shared" si="9"/>
        <v>0</v>
      </c>
      <c r="X37" s="176"/>
      <c r="Y37" s="4"/>
      <c r="Z37" s="53"/>
    </row>
    <row r="38" spans="2:26" ht="17.100000000000001" customHeight="1">
      <c r="B38" s="44">
        <f>VLOOKUP(D38,Vorgaben!$H$10:$J$16,3,0)</f>
        <v>0.29166666666666669</v>
      </c>
      <c r="C38" s="45">
        <f t="shared" si="6"/>
        <v>44586</v>
      </c>
      <c r="D38" s="51" t="str">
        <f t="shared" si="0"/>
        <v>Montag</v>
      </c>
      <c r="E38" s="22"/>
      <c r="F38" s="22"/>
      <c r="G38" s="47">
        <f t="shared" si="1"/>
        <v>0</v>
      </c>
      <c r="H38" s="22"/>
      <c r="I38" s="22"/>
      <c r="J38" s="47">
        <f t="shared" si="10"/>
        <v>0</v>
      </c>
      <c r="K38" s="22"/>
      <c r="L38" s="22"/>
      <c r="M38" s="47">
        <f t="shared" si="11"/>
        <v>0</v>
      </c>
      <c r="N38" s="22"/>
      <c r="O38" s="22"/>
      <c r="P38" s="25"/>
      <c r="Q38" s="47">
        <f t="shared" si="4"/>
        <v>0</v>
      </c>
      <c r="R38" s="48">
        <f t="shared" si="5"/>
        <v>0</v>
      </c>
      <c r="S38" s="49">
        <f t="shared" si="7"/>
        <v>0</v>
      </c>
      <c r="T38" s="50">
        <f>VLOOKUP(D38,Vorgaben!$H$10:$J$16,3,0)</f>
        <v>0.29166666666666669</v>
      </c>
      <c r="U38" s="49">
        <f t="shared" si="12"/>
        <v>5.2500000000000009</v>
      </c>
      <c r="V38" s="69">
        <f t="shared" si="8"/>
        <v>0</v>
      </c>
      <c r="W38" s="69">
        <f t="shared" si="9"/>
        <v>0</v>
      </c>
      <c r="X38" s="176"/>
      <c r="Y38" s="4"/>
      <c r="Z38" s="53"/>
    </row>
    <row r="39" spans="2:26" ht="17.100000000000001" customHeight="1">
      <c r="B39" s="44">
        <f>VLOOKUP(D39,Vorgaben!$H$10:$J$16,3,0)</f>
        <v>0.29166666666666669</v>
      </c>
      <c r="C39" s="45">
        <f t="shared" si="6"/>
        <v>44587</v>
      </c>
      <c r="D39" s="51" t="str">
        <f t="shared" si="0"/>
        <v>Dienstag</v>
      </c>
      <c r="E39" s="22"/>
      <c r="F39" s="22"/>
      <c r="G39" s="47">
        <f t="shared" si="1"/>
        <v>0</v>
      </c>
      <c r="H39" s="22"/>
      <c r="I39" s="22"/>
      <c r="J39" s="47">
        <f t="shared" si="10"/>
        <v>0</v>
      </c>
      <c r="K39" s="22"/>
      <c r="L39" s="22"/>
      <c r="M39" s="47">
        <f t="shared" si="11"/>
        <v>0</v>
      </c>
      <c r="N39" s="22"/>
      <c r="O39" s="22"/>
      <c r="P39" s="25"/>
      <c r="Q39" s="47">
        <f t="shared" si="4"/>
        <v>0</v>
      </c>
      <c r="R39" s="48">
        <f t="shared" si="5"/>
        <v>0</v>
      </c>
      <c r="S39" s="49">
        <f t="shared" si="7"/>
        <v>0</v>
      </c>
      <c r="T39" s="50">
        <f>VLOOKUP(D39,Vorgaben!$H$10:$J$16,3,0)</f>
        <v>0.29166666666666669</v>
      </c>
      <c r="U39" s="49">
        <f t="shared" si="12"/>
        <v>5.5416666666666679</v>
      </c>
      <c r="V39" s="69">
        <f t="shared" si="8"/>
        <v>0</v>
      </c>
      <c r="W39" s="69">
        <f t="shared" si="9"/>
        <v>0</v>
      </c>
      <c r="X39" s="176"/>
      <c r="Y39" s="4"/>
      <c r="Z39" s="53"/>
    </row>
    <row r="40" spans="2:26" ht="17.100000000000001" customHeight="1">
      <c r="B40" s="44">
        <f>VLOOKUP(D40,Vorgaben!$H$10:$J$16,3,0)</f>
        <v>0.29166666666666669</v>
      </c>
      <c r="C40" s="45">
        <f t="shared" si="6"/>
        <v>44588</v>
      </c>
      <c r="D40" s="51" t="str">
        <f t="shared" si="0"/>
        <v>Mittwoch</v>
      </c>
      <c r="E40" s="22"/>
      <c r="F40" s="22"/>
      <c r="G40" s="47">
        <f t="shared" si="1"/>
        <v>0</v>
      </c>
      <c r="H40" s="22"/>
      <c r="I40" s="22"/>
      <c r="J40" s="47">
        <f t="shared" si="10"/>
        <v>0</v>
      </c>
      <c r="K40" s="22"/>
      <c r="L40" s="22"/>
      <c r="M40" s="47">
        <f t="shared" si="11"/>
        <v>0</v>
      </c>
      <c r="N40" s="22"/>
      <c r="O40" s="22"/>
      <c r="P40" s="25"/>
      <c r="Q40" s="47">
        <f t="shared" si="4"/>
        <v>0</v>
      </c>
      <c r="R40" s="48">
        <f t="shared" si="5"/>
        <v>0</v>
      </c>
      <c r="S40" s="49">
        <f t="shared" si="7"/>
        <v>0</v>
      </c>
      <c r="T40" s="50">
        <f>VLOOKUP(D40,Vorgaben!$H$10:$J$16,3,0)</f>
        <v>0.29166666666666669</v>
      </c>
      <c r="U40" s="49">
        <f t="shared" si="12"/>
        <v>5.8333333333333348</v>
      </c>
      <c r="V40" s="69">
        <f t="shared" si="8"/>
        <v>0</v>
      </c>
      <c r="W40" s="69">
        <f t="shared" si="9"/>
        <v>0</v>
      </c>
      <c r="X40" s="176"/>
      <c r="Y40" s="4"/>
      <c r="Z40" s="53"/>
    </row>
    <row r="41" spans="2:26" ht="17.100000000000001" customHeight="1" thickBot="1">
      <c r="B41" s="44">
        <f>IF(D41="",0,VLOOKUP(D41,Vorgaben!$H$10:$J$16,3,0))</f>
        <v>0.29166666666666669</v>
      </c>
      <c r="C41" s="55">
        <f>IF((MOD(H3,4)=0)-(MOD(H3,100)=0)+(MOD(H3,400)=0)&lt;&gt;0,C40+1,IF(C40="","",IF(MONTH(C40+1)&gt;MONTH(C40),"",C40+1)))</f>
        <v>44589</v>
      </c>
      <c r="D41" s="56" t="str">
        <f>IF(C41="","",VLOOKUP(WEEKDAY(C41),Wochentag,2))</f>
        <v>Donnerstag</v>
      </c>
      <c r="E41" s="22"/>
      <c r="F41" s="22"/>
      <c r="G41" s="47">
        <f t="shared" si="1"/>
        <v>0</v>
      </c>
      <c r="H41" s="22"/>
      <c r="I41" s="22"/>
      <c r="J41" s="47">
        <f t="shared" si="10"/>
        <v>0</v>
      </c>
      <c r="K41" s="22"/>
      <c r="L41" s="22"/>
      <c r="M41" s="47">
        <f t="shared" si="11"/>
        <v>0</v>
      </c>
      <c r="N41" s="22"/>
      <c r="O41" s="22"/>
      <c r="P41" s="25"/>
      <c r="Q41" s="47">
        <f t="shared" si="4"/>
        <v>0</v>
      </c>
      <c r="R41" s="48">
        <f t="shared" si="5"/>
        <v>0</v>
      </c>
      <c r="S41" s="57">
        <f t="shared" si="7"/>
        <v>0</v>
      </c>
      <c r="T41" s="58">
        <f>IF(D41="",0,VLOOKUP(D41,Vorgaben!$H$10:$J$16,3,0))</f>
        <v>0.29166666666666669</v>
      </c>
      <c r="U41" s="57">
        <f t="shared" si="12"/>
        <v>6.1250000000000018</v>
      </c>
      <c r="V41" s="69">
        <f t="shared" si="8"/>
        <v>0</v>
      </c>
      <c r="W41" s="70">
        <f>IF(C41="",0,V41+W40)</f>
        <v>0</v>
      </c>
      <c r="X41" s="176"/>
      <c r="Y41" s="4"/>
      <c r="Z41" s="53"/>
    </row>
    <row r="42" spans="2:26" ht="17.100000000000001" customHeight="1" thickBot="1">
      <c r="B42" s="44">
        <f>IF(D42="",0,VLOOKUP(D42,Vorgaben!$H$10:$J$16,3,0))</f>
        <v>0.29166666666666669</v>
      </c>
      <c r="C42" s="55">
        <f>IF(C41="","",IF(MONTH(C41+1)&gt;MONTH(C41),"",C41+1))</f>
        <v>44590</v>
      </c>
      <c r="D42" s="56" t="str">
        <f>IF(C42="","",VLOOKUP(WEEKDAY(C42),Wochentag,2))</f>
        <v>Freitag</v>
      </c>
      <c r="E42" s="22"/>
      <c r="F42" s="22"/>
      <c r="G42" s="47">
        <f t="shared" si="1"/>
        <v>0</v>
      </c>
      <c r="H42" s="22"/>
      <c r="I42" s="22"/>
      <c r="J42" s="47">
        <f t="shared" si="10"/>
        <v>0</v>
      </c>
      <c r="K42" s="22"/>
      <c r="L42" s="22"/>
      <c r="M42" s="47">
        <f t="shared" si="11"/>
        <v>0</v>
      </c>
      <c r="N42" s="22"/>
      <c r="O42" s="22"/>
      <c r="P42" s="25"/>
      <c r="Q42" s="47">
        <f t="shared" si="4"/>
        <v>0</v>
      </c>
      <c r="R42" s="48">
        <f t="shared" si="5"/>
        <v>0</v>
      </c>
      <c r="S42" s="57">
        <f t="shared" si="7"/>
        <v>0</v>
      </c>
      <c r="T42" s="58">
        <f>IF(D42="",0,VLOOKUP(D42,Vorgaben!$H$10:$J$16,3,0))</f>
        <v>0.29166666666666669</v>
      </c>
      <c r="U42" s="57">
        <f t="shared" si="12"/>
        <v>6.4166666666666687</v>
      </c>
      <c r="V42" s="69">
        <f t="shared" si="8"/>
        <v>0</v>
      </c>
      <c r="W42" s="70">
        <f>IF(C42="",0,V42+W41)</f>
        <v>0</v>
      </c>
      <c r="X42" s="176"/>
      <c r="Y42" s="4"/>
      <c r="Z42" s="53"/>
    </row>
    <row r="43" spans="2:26" ht="17.100000000000001" customHeight="1" thickBot="1">
      <c r="B43" s="44">
        <f>IF(D43="",0,VLOOKUP(D43,Vorgaben!$H$10:$J$16,3,0))</f>
        <v>0</v>
      </c>
      <c r="C43" s="55">
        <f>IF(C42="","",IF(MONTH(C42+1)&gt;MONTH(C42),"",C42+1))</f>
        <v>44591</v>
      </c>
      <c r="D43" s="56" t="str">
        <f>IF(C43="","",VLOOKUP(WEEKDAY(C43),Wochentag,2))</f>
        <v>Samstag</v>
      </c>
      <c r="E43" s="27"/>
      <c r="F43" s="27"/>
      <c r="G43" s="59">
        <f t="shared" si="1"/>
        <v>0</v>
      </c>
      <c r="H43" s="27"/>
      <c r="I43" s="27"/>
      <c r="J43" s="59">
        <f t="shared" si="10"/>
        <v>0</v>
      </c>
      <c r="K43" s="27"/>
      <c r="L43" s="27"/>
      <c r="M43" s="59">
        <f t="shared" si="11"/>
        <v>0</v>
      </c>
      <c r="N43" s="27"/>
      <c r="O43" s="27"/>
      <c r="P43" s="28"/>
      <c r="Q43" s="59">
        <f t="shared" si="4"/>
        <v>0</v>
      </c>
      <c r="R43" s="60">
        <f t="shared" si="5"/>
        <v>0</v>
      </c>
      <c r="S43" s="57">
        <f t="shared" si="7"/>
        <v>0</v>
      </c>
      <c r="T43" s="58">
        <f>IF(D43="",0,VLOOKUP(D43,Vorgaben!$H$10:$J$16,3,0))</f>
        <v>0</v>
      </c>
      <c r="U43" s="57">
        <f t="shared" si="12"/>
        <v>6.4166666666666687</v>
      </c>
      <c r="V43" s="70">
        <f t="shared" si="8"/>
        <v>0</v>
      </c>
      <c r="W43" s="70">
        <f>IF(C43="",0,V43+W42)</f>
        <v>0</v>
      </c>
      <c r="X43" s="177"/>
      <c r="Y43" s="4"/>
      <c r="Z43" s="53"/>
    </row>
    <row r="44" spans="2:26" ht="19.5" customHeight="1">
      <c r="B44" s="44"/>
      <c r="C44" s="4"/>
      <c r="D44" s="4"/>
      <c r="E44" s="6"/>
      <c r="F44" s="6"/>
      <c r="G44" s="6"/>
      <c r="H44" s="6"/>
      <c r="I44" s="6"/>
      <c r="J44" s="6"/>
      <c r="K44" s="6"/>
      <c r="L44" s="4"/>
      <c r="M44" s="6"/>
      <c r="N44" s="6"/>
      <c r="O44" s="6"/>
      <c r="P44" s="4"/>
      <c r="Q44" s="6"/>
      <c r="R44" s="61">
        <f>SUM(R13:R43)</f>
        <v>0</v>
      </c>
      <c r="S44" s="62"/>
      <c r="T44" s="61">
        <f>SUM(T13:T43)</f>
        <v>6.4166666666666687</v>
      </c>
      <c r="U44" s="61"/>
      <c r="V44" s="63">
        <f>SUM(V13:V43)</f>
        <v>0</v>
      </c>
      <c r="W44" s="4"/>
      <c r="X44" s="4"/>
      <c r="Y44" s="4"/>
    </row>
    <row r="45" spans="2:26">
      <c r="B45" s="64"/>
      <c r="C45" s="65"/>
      <c r="D45" s="65"/>
      <c r="E45" s="65"/>
      <c r="F45" s="65"/>
      <c r="G45" s="65"/>
      <c r="Q45" s="65"/>
    </row>
    <row r="1048568" spans="20:20">
      <c r="T1048568" s="53">
        <v>0.29166666666666669</v>
      </c>
    </row>
  </sheetData>
  <sheetProtection password="DEB9" sheet="1" selectLockedCells="1"/>
  <mergeCells count="4">
    <mergeCell ref="G5:L5"/>
    <mergeCell ref="U4:W4"/>
    <mergeCell ref="F3:G3"/>
    <mergeCell ref="C5:E5"/>
  </mergeCells>
  <conditionalFormatting sqref="E13:F43 H13:I43 K13:L43 N13:P43">
    <cfRule type="expression" dxfId="17" priority="7">
      <formula>$B13=0</formula>
    </cfRule>
  </conditionalFormatting>
  <conditionalFormatting sqref="U13:U43">
    <cfRule type="expression" dxfId="16" priority="6">
      <formula>$U12=$U13</formula>
    </cfRule>
  </conditionalFormatting>
  <conditionalFormatting sqref="W13:W43">
    <cfRule type="expression" dxfId="15" priority="5">
      <formula>AND($F13="",$P13="")</formula>
    </cfRule>
  </conditionalFormatting>
  <conditionalFormatting sqref="G13:G43 J13:J43 M13:M43 Q13:R43 T13:T43">
    <cfRule type="cellIs" dxfId="14" priority="4" operator="equal">
      <formula>0</formula>
    </cfRule>
  </conditionalFormatting>
  <conditionalFormatting sqref="S13:S43">
    <cfRule type="expression" dxfId="13" priority="3">
      <formula>$S12=$S13</formula>
    </cfRule>
  </conditionalFormatting>
  <conditionalFormatting sqref="V13:V43">
    <cfRule type="expression" dxfId="12" priority="1">
      <formula>AND($T13=0,$R13=0)</formula>
    </cfRule>
  </conditionalFormatting>
  <dataValidations count="1">
    <dataValidation type="list" allowBlank="1" showInputMessage="1" showErrorMessage="1" sqref="P13:P43">
      <formula1>$X$5:$X$10</formula1>
    </dataValidation>
  </dataValidations>
  <pageMargins left="0.11811023622047245" right="0.11811023622047245" top="0.39370078740157483" bottom="0.39370078740157483" header="0.23622047244094491" footer="0.23622047244094491"/>
  <pageSetup paperSize="9" scale="77" orientation="landscape" r:id="rId1"/>
  <headerFooter>
    <oddFooter>&amp;L&amp;8&amp;D&amp;C&amp;8&amp;A&amp;R&amp;8Copyright by Joachim Becker WebSolutions / ControllerSpielwiese.de</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048568"/>
  <sheetViews>
    <sheetView showGridLines="0" zoomScaleNormal="100" workbookViewId="0">
      <pane ySplit="12" topLeftCell="A13" activePane="bottomLeft" state="frozen"/>
      <selection pane="bottomLeft"/>
    </sheetView>
  </sheetViews>
  <sheetFormatPr baseColWidth="10" defaultRowHeight="15"/>
  <cols>
    <col min="1" max="1" width="1" style="3" customWidth="1"/>
    <col min="2" max="2" width="2.140625" style="3" customWidth="1"/>
    <col min="3" max="3" width="10.140625" style="3" customWidth="1"/>
    <col min="4" max="4" width="11.42578125" style="3" customWidth="1"/>
    <col min="5" max="6" width="8.5703125" style="3" customWidth="1"/>
    <col min="7" max="7" width="7.28515625" style="3" customWidth="1"/>
    <col min="8" max="9" width="9.5703125" style="3" customWidth="1"/>
    <col min="10" max="10" width="7.28515625" style="3" customWidth="1"/>
    <col min="11" max="12" width="9.5703125" style="3" customWidth="1"/>
    <col min="13" max="13" width="7.28515625" style="3" hidden="1" customWidth="1"/>
    <col min="14" max="15" width="9.5703125" style="3" hidden="1" customWidth="1"/>
    <col min="16" max="16" width="13.85546875" style="3" customWidth="1"/>
    <col min="17" max="17" width="7.28515625" style="3" customWidth="1"/>
    <col min="18" max="19" width="7.7109375" style="3" customWidth="1"/>
    <col min="20" max="20" width="7.5703125" style="3" customWidth="1"/>
    <col min="21" max="21" width="8" style="3" customWidth="1"/>
    <col min="22" max="22" width="7.7109375" style="3" customWidth="1"/>
    <col min="23" max="23" width="9.5703125" style="3" customWidth="1"/>
    <col min="24" max="24" width="22.28515625" style="3" customWidth="1"/>
    <col min="25" max="25" width="2.85546875" style="3" customWidth="1"/>
    <col min="26" max="29" width="9.5703125" style="3" customWidth="1"/>
    <col min="30" max="16384" width="11.42578125" style="3"/>
  </cols>
  <sheetData>
    <row r="1" spans="1:26" ht="5.25" customHeight="1">
      <c r="A1" s="145"/>
    </row>
    <row r="2" spans="1:26" ht="3" customHeight="1">
      <c r="B2" s="4"/>
      <c r="C2" s="4"/>
      <c r="D2" s="4"/>
      <c r="E2" s="4"/>
      <c r="F2" s="4"/>
      <c r="G2" s="4"/>
      <c r="H2" s="4"/>
      <c r="I2" s="4"/>
      <c r="J2" s="4"/>
      <c r="K2" s="4"/>
      <c r="L2" s="4"/>
      <c r="M2" s="4"/>
      <c r="N2" s="4"/>
      <c r="O2" s="4"/>
      <c r="P2" s="4"/>
      <c r="Q2" s="4"/>
      <c r="R2" s="4"/>
      <c r="S2" s="4"/>
      <c r="T2" s="4"/>
      <c r="U2" s="4"/>
      <c r="V2" s="4"/>
      <c r="W2" s="4"/>
      <c r="X2" s="4"/>
      <c r="Y2" s="4"/>
    </row>
    <row r="3" spans="1:26" ht="18.75" customHeight="1">
      <c r="B3" s="4"/>
      <c r="C3" s="29" t="s">
        <v>17</v>
      </c>
      <c r="D3" s="30"/>
      <c r="E3" s="30"/>
      <c r="F3" s="184" t="s">
        <v>54</v>
      </c>
      <c r="G3" s="184"/>
      <c r="H3" s="31">
        <f>Vorgaben!J4</f>
        <v>2026</v>
      </c>
      <c r="I3" s="32" t="str">
        <f ca="1">IF(TODAY()&gt;C43,"","(aktuell: "&amp;TEXT(L8,"[hh]:mm")&amp;" h)")</f>
        <v>(aktuell: -01:57 h)</v>
      </c>
      <c r="J3" s="32"/>
      <c r="K3" s="32"/>
      <c r="L3" s="4"/>
      <c r="M3" s="4"/>
      <c r="N3" s="4"/>
      <c r="O3" s="4"/>
      <c r="P3" s="4"/>
      <c r="Q3" s="4"/>
      <c r="R3" s="4"/>
      <c r="S3" s="4"/>
      <c r="T3" s="4"/>
      <c r="U3" s="4"/>
      <c r="V3" s="4"/>
      <c r="W3" s="4"/>
      <c r="X3" s="4"/>
      <c r="Y3" s="4"/>
    </row>
    <row r="4" spans="1:26" ht="15" customHeight="1">
      <c r="B4" s="4"/>
      <c r="C4" s="29"/>
      <c r="D4" s="30"/>
      <c r="E4" s="30"/>
      <c r="F4" s="101"/>
      <c r="G4" s="101"/>
      <c r="H4" s="31"/>
      <c r="I4" s="32"/>
      <c r="J4" s="32"/>
      <c r="K4" s="32"/>
      <c r="L4" s="4"/>
      <c r="M4" s="4"/>
      <c r="N4" s="4"/>
      <c r="O4" s="4"/>
      <c r="P4" s="4"/>
      <c r="Q4" s="4"/>
      <c r="R4" s="4"/>
      <c r="S4" s="4"/>
      <c r="T4" s="4"/>
      <c r="U4" s="183" t="s">
        <v>251</v>
      </c>
      <c r="V4" s="183"/>
      <c r="W4" s="183"/>
      <c r="X4" s="4"/>
      <c r="Y4" s="4"/>
    </row>
    <row r="5" spans="1:26" ht="15" customHeight="1">
      <c r="B5" s="4"/>
      <c r="C5" s="185" t="s">
        <v>83</v>
      </c>
      <c r="D5" s="185"/>
      <c r="E5" s="185"/>
      <c r="F5" s="4"/>
      <c r="G5" s="181" t="s">
        <v>73</v>
      </c>
      <c r="H5" s="181"/>
      <c r="I5" s="181"/>
      <c r="J5" s="181"/>
      <c r="K5" s="181"/>
      <c r="L5" s="182"/>
      <c r="M5" s="4"/>
      <c r="N5" s="4"/>
      <c r="O5" s="4"/>
      <c r="P5" s="81"/>
      <c r="Q5" s="79" t="s">
        <v>74</v>
      </c>
      <c r="R5" s="80"/>
      <c r="S5" s="80"/>
      <c r="T5" s="4"/>
      <c r="U5" s="4"/>
      <c r="V5" s="33" t="s">
        <v>26</v>
      </c>
      <c r="W5" s="106">
        <f>COUNTIF($P$13:$P$43,X5)</f>
        <v>0</v>
      </c>
      <c r="X5" s="34" t="s">
        <v>22</v>
      </c>
      <c r="Y5" s="4"/>
    </row>
    <row r="6" spans="1:26" ht="15" customHeight="1" thickBot="1">
      <c r="B6" s="4"/>
      <c r="C6" s="33" t="s">
        <v>18</v>
      </c>
      <c r="D6" s="103" t="str">
        <f>Vorgaben!D4</f>
        <v>Manuela Musterfrau</v>
      </c>
      <c r="E6" s="4"/>
      <c r="F6" s="35"/>
      <c r="G6" s="72"/>
      <c r="H6" s="73" t="s">
        <v>75</v>
      </c>
      <c r="I6" s="104">
        <f>T44</f>
        <v>5.8333333333333348</v>
      </c>
      <c r="J6" s="72"/>
      <c r="K6" s="73" t="s">
        <v>70</v>
      </c>
      <c r="L6" s="104">
        <f>Jan!L8</f>
        <v>-8.1250000000000003E-2</v>
      </c>
      <c r="M6" s="4"/>
      <c r="N6" s="4"/>
      <c r="O6" s="4"/>
      <c r="P6" s="4"/>
      <c r="Q6" s="4"/>
      <c r="R6" s="33" t="s">
        <v>79</v>
      </c>
      <c r="S6" s="105">
        <f>Vorgaben!E11</f>
        <v>26</v>
      </c>
      <c r="T6" s="4"/>
      <c r="U6" s="4"/>
      <c r="V6" s="33" t="s">
        <v>27</v>
      </c>
      <c r="W6" s="107">
        <f>COUNTIF($P$13:$P$43,X6)</f>
        <v>0</v>
      </c>
      <c r="X6" s="34" t="s">
        <v>37</v>
      </c>
      <c r="Y6" s="4"/>
    </row>
    <row r="7" spans="1:26" ht="15" customHeight="1" thickBot="1">
      <c r="B7" s="4"/>
      <c r="C7" s="33" t="s">
        <v>19</v>
      </c>
      <c r="D7" s="39" t="str">
        <f>Vorgaben!D5</f>
        <v>Finanzbuchhaltung</v>
      </c>
      <c r="E7" s="37"/>
      <c r="F7" s="38"/>
      <c r="G7" s="72"/>
      <c r="H7" s="73" t="s">
        <v>76</v>
      </c>
      <c r="I7" s="104">
        <f>R44</f>
        <v>0</v>
      </c>
      <c r="J7" s="72"/>
      <c r="K7" s="73" t="s">
        <v>71</v>
      </c>
      <c r="L7" s="104">
        <f>SUM(V13:V43)</f>
        <v>0</v>
      </c>
      <c r="M7" s="4"/>
      <c r="N7" s="4"/>
      <c r="O7" s="4"/>
      <c r="P7" s="4"/>
      <c r="Q7" s="4"/>
      <c r="R7" s="33" t="s">
        <v>78</v>
      </c>
      <c r="S7" s="105">
        <f>Jan!W5+W5</f>
        <v>0</v>
      </c>
      <c r="T7" s="4"/>
      <c r="U7" s="4"/>
      <c r="V7" s="33" t="s">
        <v>29</v>
      </c>
      <c r="W7" s="107">
        <f>COUNTIF($P$13:$P$43,X7)</f>
        <v>0</v>
      </c>
      <c r="X7" s="34" t="s">
        <v>38</v>
      </c>
      <c r="Y7" s="4"/>
    </row>
    <row r="8" spans="1:26" ht="15" customHeight="1">
      <c r="B8" s="4"/>
      <c r="C8" s="33" t="s">
        <v>24</v>
      </c>
      <c r="D8" s="42">
        <f>Vorgaben!D6</f>
        <v>4711</v>
      </c>
      <c r="E8" s="37"/>
      <c r="F8" s="41"/>
      <c r="G8" s="72"/>
      <c r="H8" s="73" t="s">
        <v>52</v>
      </c>
      <c r="I8" s="104">
        <f>IF(I7=0,I7,I7-I6)</f>
        <v>0</v>
      </c>
      <c r="J8" s="72"/>
      <c r="K8" s="73" t="s">
        <v>72</v>
      </c>
      <c r="L8" s="104">
        <f>SUM(L6:L7)</f>
        <v>-8.1250000000000003E-2</v>
      </c>
      <c r="M8" s="4"/>
      <c r="N8" s="4"/>
      <c r="O8" s="4"/>
      <c r="P8" s="4"/>
      <c r="Q8" s="4"/>
      <c r="R8" s="33" t="s">
        <v>44</v>
      </c>
      <c r="S8" s="105">
        <f>S6-S7</f>
        <v>26</v>
      </c>
      <c r="T8" s="4"/>
      <c r="U8" s="4"/>
      <c r="V8" s="33" t="s">
        <v>40</v>
      </c>
      <c r="W8" s="107">
        <f>COUNTIF($P$13:$P$43,X8)</f>
        <v>0</v>
      </c>
      <c r="X8" s="34" t="s">
        <v>25</v>
      </c>
      <c r="Y8" s="4"/>
    </row>
    <row r="9" spans="1:26" ht="15" customHeight="1">
      <c r="B9" s="4"/>
      <c r="C9" s="33" t="str">
        <f>IF(Vorgaben!C7="frei:","",Vorgaben!C7)</f>
        <v/>
      </c>
      <c r="D9" s="42" t="str">
        <f>IF(Vorgaben!D7="","",Vorgaben!D7)</f>
        <v/>
      </c>
      <c r="E9" s="40"/>
      <c r="F9" s="41"/>
      <c r="G9" s="41"/>
      <c r="H9" s="41"/>
      <c r="I9" s="41"/>
      <c r="J9" s="41"/>
      <c r="K9" s="41"/>
      <c r="L9" s="41"/>
      <c r="M9" s="41"/>
      <c r="N9" s="41"/>
      <c r="O9" s="41"/>
      <c r="P9" s="41"/>
      <c r="Q9" s="41"/>
      <c r="R9" s="41"/>
      <c r="S9" s="41"/>
      <c r="T9" s="4"/>
      <c r="U9" s="4"/>
      <c r="V9" s="33" t="s">
        <v>51</v>
      </c>
      <c r="W9" s="107">
        <f>COUNTIF($P$13:$P$43,X9)</f>
        <v>0</v>
      </c>
      <c r="X9" s="34" t="s">
        <v>39</v>
      </c>
      <c r="Y9" s="4"/>
    </row>
    <row r="10" spans="1:26" ht="6.75" customHeight="1">
      <c r="B10" s="4"/>
      <c r="C10" s="71"/>
      <c r="D10" s="71"/>
      <c r="E10" s="20"/>
      <c r="F10" s="20"/>
      <c r="G10" s="20"/>
      <c r="H10" s="20"/>
      <c r="I10" s="20"/>
      <c r="J10" s="20"/>
      <c r="K10" s="20"/>
      <c r="L10" s="20"/>
      <c r="M10" s="20"/>
      <c r="N10" s="20"/>
      <c r="O10" s="20"/>
      <c r="P10" s="71"/>
      <c r="Q10" s="20"/>
      <c r="R10" s="20"/>
      <c r="S10" s="20"/>
      <c r="T10" s="20"/>
      <c r="U10" s="20"/>
      <c r="V10" s="20"/>
      <c r="W10" s="20"/>
      <c r="X10" s="20"/>
      <c r="Y10" s="4"/>
    </row>
    <row r="11" spans="1:26" ht="18" customHeight="1">
      <c r="B11" s="44"/>
      <c r="C11" s="21" t="s">
        <v>20</v>
      </c>
      <c r="D11" s="5" t="s">
        <v>15</v>
      </c>
      <c r="E11" s="21" t="s">
        <v>7</v>
      </c>
      <c r="F11" s="21" t="s">
        <v>8</v>
      </c>
      <c r="G11" s="21" t="s">
        <v>9</v>
      </c>
      <c r="H11" s="21" t="s">
        <v>7</v>
      </c>
      <c r="I11" s="21" t="s">
        <v>8</v>
      </c>
      <c r="J11" s="21" t="s">
        <v>10</v>
      </c>
      <c r="K11" s="21" t="s">
        <v>7</v>
      </c>
      <c r="L11" s="21" t="s">
        <v>8</v>
      </c>
      <c r="M11" s="21" t="s">
        <v>28</v>
      </c>
      <c r="N11" s="21" t="s">
        <v>7</v>
      </c>
      <c r="O11" s="21" t="s">
        <v>8</v>
      </c>
      <c r="P11" s="21" t="s">
        <v>30</v>
      </c>
      <c r="Q11" s="21" t="s">
        <v>77</v>
      </c>
      <c r="R11" s="21" t="s">
        <v>13</v>
      </c>
      <c r="S11" s="21" t="s">
        <v>14</v>
      </c>
      <c r="T11" s="21" t="s">
        <v>11</v>
      </c>
      <c r="U11" s="21" t="s">
        <v>12</v>
      </c>
      <c r="V11" s="21" t="s">
        <v>67</v>
      </c>
      <c r="W11" s="21" t="s">
        <v>68</v>
      </c>
      <c r="X11" s="21" t="s">
        <v>31</v>
      </c>
      <c r="Y11" s="4"/>
    </row>
    <row r="12" spans="1:26" ht="3.75" customHeight="1">
      <c r="B12" s="44"/>
      <c r="C12" s="4"/>
      <c r="D12" s="4"/>
      <c r="E12" s="4"/>
      <c r="F12" s="4"/>
      <c r="G12" s="4"/>
      <c r="H12" s="4"/>
      <c r="I12" s="4"/>
      <c r="J12" s="4"/>
      <c r="K12" s="4"/>
      <c r="L12" s="4"/>
      <c r="M12" s="4"/>
      <c r="N12" s="4"/>
      <c r="O12" s="4"/>
      <c r="P12" s="4"/>
      <c r="Q12" s="4"/>
      <c r="R12" s="4"/>
      <c r="S12" s="4"/>
      <c r="T12" s="4"/>
      <c r="U12" s="4"/>
      <c r="V12" s="4"/>
      <c r="W12" s="4"/>
      <c r="X12" s="4"/>
      <c r="Y12" s="4"/>
    </row>
    <row r="13" spans="1:26" ht="17.100000000000001" customHeight="1">
      <c r="B13" s="44">
        <f>VLOOKUP(D13,Vorgaben!$H$10:$J$16,3,0)</f>
        <v>0</v>
      </c>
      <c r="C13" s="45">
        <f>DATEVALUE(1&amp;"."&amp;F3&amp;"."&amp;H3)</f>
        <v>44592</v>
      </c>
      <c r="D13" s="46" t="str">
        <f t="shared" ref="D13:D40" si="0">VLOOKUP(WEEKDAY(C13),Wochentag,2)</f>
        <v>Sonntag</v>
      </c>
      <c r="E13" s="22"/>
      <c r="F13" s="22"/>
      <c r="G13" s="47">
        <f t="shared" ref="G13:G43" si="1">IF(E13="",0,IF(H13="",0,H13-F13))</f>
        <v>0</v>
      </c>
      <c r="H13" s="22"/>
      <c r="I13" s="22"/>
      <c r="J13" s="47">
        <f t="shared" ref="J13:J16" si="2">IF(H13="",0,IF(K13="",0,K13-I13))</f>
        <v>0</v>
      </c>
      <c r="K13" s="22"/>
      <c r="L13" s="22"/>
      <c r="M13" s="47">
        <f t="shared" ref="M13:M16" si="3">IF(K13="",0,IF(N13="",0,N13-L13))</f>
        <v>0</v>
      </c>
      <c r="N13" s="22"/>
      <c r="O13" s="22"/>
      <c r="P13" s="23"/>
      <c r="Q13" s="47">
        <f t="shared" ref="Q13:Q43" si="4">IF(F13=0,0,IF(F13-E13+I13-H13+L13-K13+O13-N13&gt;neun_h,0.3125,IF(AND(F13-E13+I13-H13+L13-K13+O13-N13&lt;=neun_h,F13-E13+I13-H13+L13-K13+O13-N13&gt;sechs_h),0.0208333333333333,0.00000000000000001)))</f>
        <v>0</v>
      </c>
      <c r="R13" s="48">
        <f>IF(OR(P13="Urlaub",P13="Krank",P13="Fortbildung",P13="Feiertag"),T13,IF(F13=0,0,F13-E13+I13-H13+L13-K13+O13-N13-IF(G13&lt;=0.0208333333333333,Q13-G13,0)))</f>
        <v>0</v>
      </c>
      <c r="S13" s="49">
        <f>IF(AND(F13=0,P13=0),0,R13)</f>
        <v>0</v>
      </c>
      <c r="T13" s="50">
        <f>VLOOKUP(D13,Vorgaben!$H$10:$J$16,3,0)</f>
        <v>0</v>
      </c>
      <c r="U13" s="49">
        <f>T13</f>
        <v>0</v>
      </c>
      <c r="V13" s="69">
        <f>IF(AND(E13+F13+H13+I13+K13+L13=0,P13=""),0,R13-T13)</f>
        <v>0</v>
      </c>
      <c r="W13" s="69">
        <f>V13</f>
        <v>0</v>
      </c>
      <c r="X13" s="176"/>
      <c r="Y13" s="4"/>
      <c r="Z13" s="53"/>
    </row>
    <row r="14" spans="1:26" ht="17.100000000000001" customHeight="1">
      <c r="B14" s="44">
        <f>VLOOKUP(D14,Vorgaben!$H$10:$J$16,3,0)</f>
        <v>0.29166666666666669</v>
      </c>
      <c r="C14" s="45">
        <f>C13+1</f>
        <v>44593</v>
      </c>
      <c r="D14" s="51" t="str">
        <f t="shared" si="0"/>
        <v>Montag</v>
      </c>
      <c r="E14" s="22"/>
      <c r="F14" s="22"/>
      <c r="G14" s="47">
        <f>IF(E14="",0,IF(H14="",0,H14-F14))</f>
        <v>0</v>
      </c>
      <c r="H14" s="22"/>
      <c r="I14" s="22"/>
      <c r="J14" s="47">
        <f t="shared" si="2"/>
        <v>0</v>
      </c>
      <c r="K14" s="22"/>
      <c r="L14" s="22"/>
      <c r="M14" s="47">
        <f t="shared" si="3"/>
        <v>0</v>
      </c>
      <c r="N14" s="22"/>
      <c r="O14" s="22"/>
      <c r="P14" s="24"/>
      <c r="Q14" s="47">
        <f t="shared" si="4"/>
        <v>0</v>
      </c>
      <c r="R14" s="48">
        <f t="shared" ref="R14:R43" si="5">IF(OR(P14="Urlaub",P14="Krank",P14="Fortbildung",P14="Feiertag"),T14,IF(F14=0,0,F14-E14+I14-H14+L14-K14+O14-N14-IF(G14&lt;=0.0208333333333333,Q14-G14,0)))</f>
        <v>0</v>
      </c>
      <c r="S14" s="49">
        <f>R14+S13</f>
        <v>0</v>
      </c>
      <c r="T14" s="50">
        <f>VLOOKUP(D14,Vorgaben!$H$10:$J$16,3,0)</f>
        <v>0.29166666666666669</v>
      </c>
      <c r="U14" s="49">
        <f>T14+U13</f>
        <v>0.29166666666666669</v>
      </c>
      <c r="V14" s="69">
        <f t="shared" ref="V14:V43" si="6">IF(AND(E14+F14+H14+I14+K14+L14=0,P14=""),0,R14-T14)</f>
        <v>0</v>
      </c>
      <c r="W14" s="69">
        <f>V14+W13</f>
        <v>0</v>
      </c>
      <c r="X14" s="176"/>
      <c r="Y14" s="52"/>
      <c r="Z14" s="53"/>
    </row>
    <row r="15" spans="1:26" ht="17.100000000000001" customHeight="1">
      <c r="B15" s="44">
        <f>VLOOKUP(D15,Vorgaben!$H$10:$J$16,3,0)</f>
        <v>0.29166666666666669</v>
      </c>
      <c r="C15" s="45">
        <f t="shared" ref="C15:C40" si="7">C14+1</f>
        <v>44594</v>
      </c>
      <c r="D15" s="51" t="str">
        <f t="shared" si="0"/>
        <v>Dienstag</v>
      </c>
      <c r="E15" s="22"/>
      <c r="F15" s="22"/>
      <c r="G15" s="47">
        <f t="shared" si="1"/>
        <v>0</v>
      </c>
      <c r="H15" s="22"/>
      <c r="I15" s="22"/>
      <c r="J15" s="47">
        <f t="shared" si="2"/>
        <v>0</v>
      </c>
      <c r="K15" s="22"/>
      <c r="L15" s="22"/>
      <c r="M15" s="47">
        <f t="shared" si="3"/>
        <v>0</v>
      </c>
      <c r="N15" s="22"/>
      <c r="O15" s="22"/>
      <c r="P15" s="25"/>
      <c r="Q15" s="47">
        <f t="shared" si="4"/>
        <v>0</v>
      </c>
      <c r="R15" s="48">
        <f t="shared" si="5"/>
        <v>0</v>
      </c>
      <c r="S15" s="49">
        <f t="shared" ref="S15:S43" si="8">R15+S14</f>
        <v>0</v>
      </c>
      <c r="T15" s="50">
        <f>VLOOKUP(D15,Vorgaben!$H$10:$J$16,3,0)</f>
        <v>0.29166666666666669</v>
      </c>
      <c r="U15" s="49">
        <f>T15+U14</f>
        <v>0.58333333333333337</v>
      </c>
      <c r="V15" s="69">
        <f t="shared" si="6"/>
        <v>0</v>
      </c>
      <c r="W15" s="69">
        <f t="shared" ref="W15:W40" si="9">V15+W14</f>
        <v>0</v>
      </c>
      <c r="X15" s="176"/>
      <c r="Y15" s="52"/>
      <c r="Z15" s="53"/>
    </row>
    <row r="16" spans="1:26" ht="17.100000000000001" customHeight="1">
      <c r="B16" s="44">
        <f>VLOOKUP(D16,Vorgaben!$H$10:$J$16,3,0)</f>
        <v>0.29166666666666669</v>
      </c>
      <c r="C16" s="45">
        <f t="shared" si="7"/>
        <v>44595</v>
      </c>
      <c r="D16" s="51" t="str">
        <f t="shared" si="0"/>
        <v>Mittwoch</v>
      </c>
      <c r="E16" s="22"/>
      <c r="F16" s="22"/>
      <c r="G16" s="47">
        <f t="shared" si="1"/>
        <v>0</v>
      </c>
      <c r="H16" s="22"/>
      <c r="I16" s="22"/>
      <c r="J16" s="47">
        <f t="shared" si="2"/>
        <v>0</v>
      </c>
      <c r="K16" s="22"/>
      <c r="L16" s="22"/>
      <c r="M16" s="47">
        <f t="shared" si="3"/>
        <v>0</v>
      </c>
      <c r="N16" s="22"/>
      <c r="O16" s="22"/>
      <c r="P16" s="25"/>
      <c r="Q16" s="47">
        <f t="shared" si="4"/>
        <v>0</v>
      </c>
      <c r="R16" s="48">
        <f t="shared" si="5"/>
        <v>0</v>
      </c>
      <c r="S16" s="49">
        <f t="shared" si="8"/>
        <v>0</v>
      </c>
      <c r="T16" s="50">
        <f>VLOOKUP(D16,Vorgaben!$H$10:$J$16,3,0)</f>
        <v>0.29166666666666669</v>
      </c>
      <c r="U16" s="49">
        <f>T16+U15</f>
        <v>0.875</v>
      </c>
      <c r="V16" s="69">
        <f t="shared" si="6"/>
        <v>0</v>
      </c>
      <c r="W16" s="69">
        <f t="shared" si="9"/>
        <v>0</v>
      </c>
      <c r="X16" s="176"/>
      <c r="Y16" s="52"/>
      <c r="Z16" s="53"/>
    </row>
    <row r="17" spans="2:26" ht="17.100000000000001" customHeight="1">
      <c r="B17" s="44">
        <f>VLOOKUP(D17,Vorgaben!$H$10:$J$16,3,0)</f>
        <v>0.29166666666666669</v>
      </c>
      <c r="C17" s="45">
        <f t="shared" si="7"/>
        <v>44596</v>
      </c>
      <c r="D17" s="51" t="str">
        <f t="shared" si="0"/>
        <v>Donnerstag</v>
      </c>
      <c r="E17" s="22"/>
      <c r="F17" s="22"/>
      <c r="G17" s="47">
        <f t="shared" si="1"/>
        <v>0</v>
      </c>
      <c r="H17" s="22"/>
      <c r="I17" s="22"/>
      <c r="J17" s="47">
        <f>IF(H17="",0,IF(K17="",0,K17-I17))</f>
        <v>0</v>
      </c>
      <c r="K17" s="22"/>
      <c r="L17" s="22"/>
      <c r="M17" s="47">
        <f>IF(K17="",0,IF(N17="",0,N17-L17))</f>
        <v>0</v>
      </c>
      <c r="N17" s="22"/>
      <c r="O17" s="22"/>
      <c r="P17" s="25"/>
      <c r="Q17" s="47">
        <f t="shared" si="4"/>
        <v>0</v>
      </c>
      <c r="R17" s="48">
        <f t="shared" si="5"/>
        <v>0</v>
      </c>
      <c r="S17" s="49">
        <f t="shared" si="8"/>
        <v>0</v>
      </c>
      <c r="T17" s="50">
        <f>VLOOKUP(D17,Vorgaben!$H$10:$J$16,3,0)</f>
        <v>0.29166666666666669</v>
      </c>
      <c r="U17" s="49">
        <f>T17+U16</f>
        <v>1.1666666666666667</v>
      </c>
      <c r="V17" s="69">
        <f t="shared" si="6"/>
        <v>0</v>
      </c>
      <c r="W17" s="69">
        <f t="shared" si="9"/>
        <v>0</v>
      </c>
      <c r="X17" s="176"/>
      <c r="Y17" s="54"/>
      <c r="Z17" s="53"/>
    </row>
    <row r="18" spans="2:26" ht="17.100000000000001" customHeight="1">
      <c r="B18" s="44">
        <f>VLOOKUP(D18,Vorgaben!$H$10:$J$16,3,0)</f>
        <v>0.29166666666666669</v>
      </c>
      <c r="C18" s="45">
        <f t="shared" si="7"/>
        <v>44597</v>
      </c>
      <c r="D18" s="51" t="str">
        <f t="shared" si="0"/>
        <v>Freitag</v>
      </c>
      <c r="E18" s="26"/>
      <c r="F18" s="26"/>
      <c r="G18" s="47">
        <f t="shared" si="1"/>
        <v>0</v>
      </c>
      <c r="H18" s="26"/>
      <c r="I18" s="26"/>
      <c r="J18" s="47">
        <f t="shared" ref="J18:J43" si="10">IF(H18="",0,IF(K18="",0,K18-I18))</f>
        <v>0</v>
      </c>
      <c r="K18" s="26"/>
      <c r="L18" s="26"/>
      <c r="M18" s="47">
        <f t="shared" ref="M18:M43" si="11">IF(K18="",0,IF(N18="",0,N18-L18))</f>
        <v>0</v>
      </c>
      <c r="N18" s="26"/>
      <c r="O18" s="26"/>
      <c r="P18" s="25"/>
      <c r="Q18" s="47">
        <f t="shared" si="4"/>
        <v>0</v>
      </c>
      <c r="R18" s="48">
        <f t="shared" si="5"/>
        <v>0</v>
      </c>
      <c r="S18" s="49">
        <f t="shared" si="8"/>
        <v>0</v>
      </c>
      <c r="T18" s="50">
        <f>VLOOKUP(D18,Vorgaben!$H$10:$J$16,3,0)</f>
        <v>0.29166666666666669</v>
      </c>
      <c r="U18" s="49">
        <f t="shared" ref="U18:U43" si="12">T18+U17</f>
        <v>1.4583333333333335</v>
      </c>
      <c r="V18" s="69">
        <f t="shared" si="6"/>
        <v>0</v>
      </c>
      <c r="W18" s="69">
        <f t="shared" si="9"/>
        <v>0</v>
      </c>
      <c r="X18" s="176"/>
      <c r="Y18" s="52"/>
      <c r="Z18" s="53"/>
    </row>
    <row r="19" spans="2:26" ht="17.100000000000001" customHeight="1">
      <c r="B19" s="44">
        <f>VLOOKUP(D19,Vorgaben!$H$10:$J$16,3,0)</f>
        <v>0</v>
      </c>
      <c r="C19" s="45">
        <f t="shared" si="7"/>
        <v>44598</v>
      </c>
      <c r="D19" s="51" t="str">
        <f t="shared" si="0"/>
        <v>Samstag</v>
      </c>
      <c r="E19" s="26"/>
      <c r="F19" s="26"/>
      <c r="G19" s="47">
        <f t="shared" si="1"/>
        <v>0</v>
      </c>
      <c r="H19" s="26"/>
      <c r="I19" s="26"/>
      <c r="J19" s="47">
        <f t="shared" si="10"/>
        <v>0</v>
      </c>
      <c r="K19" s="26"/>
      <c r="L19" s="26"/>
      <c r="M19" s="47">
        <f t="shared" si="11"/>
        <v>0</v>
      </c>
      <c r="N19" s="26"/>
      <c r="O19" s="26"/>
      <c r="P19" s="25"/>
      <c r="Q19" s="47">
        <f t="shared" si="4"/>
        <v>0</v>
      </c>
      <c r="R19" s="48">
        <f t="shared" si="5"/>
        <v>0</v>
      </c>
      <c r="S19" s="49">
        <f t="shared" si="8"/>
        <v>0</v>
      </c>
      <c r="T19" s="50">
        <f>VLOOKUP(D19,Vorgaben!$H$10:$J$16,3,0)</f>
        <v>0</v>
      </c>
      <c r="U19" s="49">
        <f t="shared" si="12"/>
        <v>1.4583333333333335</v>
      </c>
      <c r="V19" s="69">
        <f t="shared" si="6"/>
        <v>0</v>
      </c>
      <c r="W19" s="69">
        <f t="shared" si="9"/>
        <v>0</v>
      </c>
      <c r="X19" s="176"/>
      <c r="Y19" s="4"/>
      <c r="Z19" s="53"/>
    </row>
    <row r="20" spans="2:26" ht="17.100000000000001" customHeight="1">
      <c r="B20" s="44">
        <f>VLOOKUP(D20,Vorgaben!$H$10:$J$16,3,0)</f>
        <v>0</v>
      </c>
      <c r="C20" s="45">
        <f t="shared" si="7"/>
        <v>44599</v>
      </c>
      <c r="D20" s="51" t="str">
        <f t="shared" si="0"/>
        <v>Sonntag</v>
      </c>
      <c r="E20" s="22"/>
      <c r="F20" s="22"/>
      <c r="G20" s="47">
        <f t="shared" si="1"/>
        <v>0</v>
      </c>
      <c r="H20" s="22"/>
      <c r="I20" s="22"/>
      <c r="J20" s="47">
        <f t="shared" si="10"/>
        <v>0</v>
      </c>
      <c r="K20" s="22"/>
      <c r="L20" s="22"/>
      <c r="M20" s="47">
        <f t="shared" si="11"/>
        <v>0</v>
      </c>
      <c r="N20" s="22"/>
      <c r="O20" s="22"/>
      <c r="P20" s="25"/>
      <c r="Q20" s="47">
        <f t="shared" si="4"/>
        <v>0</v>
      </c>
      <c r="R20" s="48">
        <f t="shared" si="5"/>
        <v>0</v>
      </c>
      <c r="S20" s="49">
        <f t="shared" si="8"/>
        <v>0</v>
      </c>
      <c r="T20" s="50">
        <f>VLOOKUP(D20,Vorgaben!$H$10:$J$16,3,0)</f>
        <v>0</v>
      </c>
      <c r="U20" s="49">
        <f t="shared" si="12"/>
        <v>1.4583333333333335</v>
      </c>
      <c r="V20" s="69">
        <f t="shared" si="6"/>
        <v>0</v>
      </c>
      <c r="W20" s="69">
        <f t="shared" si="9"/>
        <v>0</v>
      </c>
      <c r="X20" s="176"/>
      <c r="Y20" s="4"/>
      <c r="Z20" s="53"/>
    </row>
    <row r="21" spans="2:26" ht="17.100000000000001" customHeight="1">
      <c r="B21" s="44">
        <f>VLOOKUP(D21,Vorgaben!$H$10:$J$16,3,0)</f>
        <v>0.29166666666666669</v>
      </c>
      <c r="C21" s="45">
        <f t="shared" si="7"/>
        <v>44600</v>
      </c>
      <c r="D21" s="51" t="str">
        <f t="shared" si="0"/>
        <v>Montag</v>
      </c>
      <c r="E21" s="22"/>
      <c r="F21" s="22"/>
      <c r="G21" s="47">
        <f t="shared" si="1"/>
        <v>0</v>
      </c>
      <c r="H21" s="22"/>
      <c r="I21" s="22"/>
      <c r="J21" s="47">
        <f t="shared" si="10"/>
        <v>0</v>
      </c>
      <c r="K21" s="22"/>
      <c r="L21" s="22"/>
      <c r="M21" s="47">
        <f t="shared" si="11"/>
        <v>0</v>
      </c>
      <c r="N21" s="22"/>
      <c r="O21" s="22"/>
      <c r="P21" s="25"/>
      <c r="Q21" s="47">
        <f t="shared" si="4"/>
        <v>0</v>
      </c>
      <c r="R21" s="48">
        <f t="shared" si="5"/>
        <v>0</v>
      </c>
      <c r="S21" s="49">
        <f t="shared" si="8"/>
        <v>0</v>
      </c>
      <c r="T21" s="50">
        <f>VLOOKUP(D21,Vorgaben!$H$10:$J$16,3,0)</f>
        <v>0.29166666666666669</v>
      </c>
      <c r="U21" s="49">
        <f t="shared" si="12"/>
        <v>1.7500000000000002</v>
      </c>
      <c r="V21" s="69">
        <f>IF(AND(E21+F21+H21+I21+K21+L21=0,P21=""),0,R21-T21)</f>
        <v>0</v>
      </c>
      <c r="W21" s="69">
        <f>V21+W20</f>
        <v>0</v>
      </c>
      <c r="X21" s="176"/>
      <c r="Y21" s="4"/>
      <c r="Z21" s="53"/>
    </row>
    <row r="22" spans="2:26" ht="17.100000000000001" customHeight="1">
      <c r="B22" s="44">
        <f>VLOOKUP(D22,Vorgaben!$H$10:$J$16,3,0)</f>
        <v>0.29166666666666669</v>
      </c>
      <c r="C22" s="45">
        <f t="shared" si="7"/>
        <v>44601</v>
      </c>
      <c r="D22" s="51" t="str">
        <f t="shared" si="0"/>
        <v>Dienstag</v>
      </c>
      <c r="E22" s="22"/>
      <c r="F22" s="22"/>
      <c r="G22" s="47">
        <f t="shared" si="1"/>
        <v>0</v>
      </c>
      <c r="H22" s="22"/>
      <c r="I22" s="22"/>
      <c r="J22" s="47">
        <f t="shared" si="10"/>
        <v>0</v>
      </c>
      <c r="K22" s="22"/>
      <c r="L22" s="22"/>
      <c r="M22" s="47">
        <f t="shared" si="11"/>
        <v>0</v>
      </c>
      <c r="N22" s="22"/>
      <c r="O22" s="22"/>
      <c r="P22" s="25"/>
      <c r="Q22" s="47">
        <f t="shared" si="4"/>
        <v>0</v>
      </c>
      <c r="R22" s="48">
        <f t="shared" si="5"/>
        <v>0</v>
      </c>
      <c r="S22" s="49">
        <f t="shared" si="8"/>
        <v>0</v>
      </c>
      <c r="T22" s="50">
        <f>VLOOKUP(D22,Vorgaben!$H$10:$J$16,3,0)</f>
        <v>0.29166666666666669</v>
      </c>
      <c r="U22" s="49">
        <f t="shared" si="12"/>
        <v>2.041666666666667</v>
      </c>
      <c r="V22" s="69">
        <f t="shared" si="6"/>
        <v>0</v>
      </c>
      <c r="W22" s="69">
        <f t="shared" si="9"/>
        <v>0</v>
      </c>
      <c r="X22" s="176"/>
      <c r="Y22" s="4"/>
      <c r="Z22" s="53"/>
    </row>
    <row r="23" spans="2:26" ht="17.100000000000001" customHeight="1">
      <c r="B23" s="44">
        <f>VLOOKUP(D23,Vorgaben!$H$10:$J$16,3,0)</f>
        <v>0.29166666666666669</v>
      </c>
      <c r="C23" s="45">
        <f t="shared" si="7"/>
        <v>44602</v>
      </c>
      <c r="D23" s="51" t="str">
        <f t="shared" si="0"/>
        <v>Mittwoch</v>
      </c>
      <c r="E23" s="22"/>
      <c r="F23" s="22"/>
      <c r="G23" s="47">
        <f t="shared" si="1"/>
        <v>0</v>
      </c>
      <c r="H23" s="22"/>
      <c r="I23" s="22"/>
      <c r="J23" s="47">
        <f t="shared" si="10"/>
        <v>0</v>
      </c>
      <c r="K23" s="22"/>
      <c r="L23" s="22"/>
      <c r="M23" s="47">
        <f t="shared" si="11"/>
        <v>0</v>
      </c>
      <c r="N23" s="22"/>
      <c r="O23" s="22"/>
      <c r="P23" s="25"/>
      <c r="Q23" s="47">
        <f t="shared" si="4"/>
        <v>0</v>
      </c>
      <c r="R23" s="48">
        <f t="shared" si="5"/>
        <v>0</v>
      </c>
      <c r="S23" s="49">
        <f t="shared" si="8"/>
        <v>0</v>
      </c>
      <c r="T23" s="50">
        <f>VLOOKUP(D23,Vorgaben!$H$10:$J$16,3,0)</f>
        <v>0.29166666666666669</v>
      </c>
      <c r="U23" s="49">
        <f t="shared" si="12"/>
        <v>2.3333333333333335</v>
      </c>
      <c r="V23" s="69">
        <f t="shared" si="6"/>
        <v>0</v>
      </c>
      <c r="W23" s="69">
        <f t="shared" si="9"/>
        <v>0</v>
      </c>
      <c r="X23" s="176"/>
      <c r="Y23" s="4"/>
      <c r="Z23" s="53"/>
    </row>
    <row r="24" spans="2:26" ht="17.100000000000001" customHeight="1">
      <c r="B24" s="44">
        <f>VLOOKUP(D24,Vorgaben!$H$10:$J$16,3,0)</f>
        <v>0.29166666666666669</v>
      </c>
      <c r="C24" s="45">
        <f t="shared" si="7"/>
        <v>44603</v>
      </c>
      <c r="D24" s="51" t="str">
        <f t="shared" si="0"/>
        <v>Donnerstag</v>
      </c>
      <c r="E24" s="22"/>
      <c r="F24" s="22"/>
      <c r="G24" s="47">
        <f t="shared" si="1"/>
        <v>0</v>
      </c>
      <c r="H24" s="22"/>
      <c r="I24" s="22"/>
      <c r="J24" s="47">
        <f t="shared" si="10"/>
        <v>0</v>
      </c>
      <c r="K24" s="22"/>
      <c r="L24" s="22"/>
      <c r="M24" s="47">
        <f t="shared" si="11"/>
        <v>0</v>
      </c>
      <c r="N24" s="22"/>
      <c r="O24" s="22"/>
      <c r="P24" s="25"/>
      <c r="Q24" s="47">
        <f t="shared" si="4"/>
        <v>0</v>
      </c>
      <c r="R24" s="48">
        <f t="shared" si="5"/>
        <v>0</v>
      </c>
      <c r="S24" s="49">
        <f t="shared" si="8"/>
        <v>0</v>
      </c>
      <c r="T24" s="50">
        <f>VLOOKUP(D24,Vorgaben!$H$10:$J$16,3,0)</f>
        <v>0.29166666666666669</v>
      </c>
      <c r="U24" s="49">
        <f t="shared" si="12"/>
        <v>2.625</v>
      </c>
      <c r="V24" s="69">
        <f t="shared" si="6"/>
        <v>0</v>
      </c>
      <c r="W24" s="69">
        <f t="shared" si="9"/>
        <v>0</v>
      </c>
      <c r="X24" s="176"/>
      <c r="Y24" s="4"/>
      <c r="Z24" s="53"/>
    </row>
    <row r="25" spans="2:26" ht="17.100000000000001" customHeight="1">
      <c r="B25" s="44">
        <f>VLOOKUP(D25,Vorgaben!$H$10:$J$16,3,0)</f>
        <v>0.29166666666666669</v>
      </c>
      <c r="C25" s="45">
        <f t="shared" si="7"/>
        <v>44604</v>
      </c>
      <c r="D25" s="51" t="str">
        <f t="shared" si="0"/>
        <v>Freitag</v>
      </c>
      <c r="E25" s="22"/>
      <c r="F25" s="22"/>
      <c r="G25" s="47">
        <f t="shared" si="1"/>
        <v>0</v>
      </c>
      <c r="H25" s="22"/>
      <c r="I25" s="22"/>
      <c r="J25" s="47">
        <f t="shared" si="10"/>
        <v>0</v>
      </c>
      <c r="K25" s="22"/>
      <c r="L25" s="22"/>
      <c r="M25" s="47">
        <f t="shared" si="11"/>
        <v>0</v>
      </c>
      <c r="N25" s="22"/>
      <c r="O25" s="22"/>
      <c r="P25" s="25"/>
      <c r="Q25" s="47">
        <f t="shared" si="4"/>
        <v>0</v>
      </c>
      <c r="R25" s="48">
        <f t="shared" si="5"/>
        <v>0</v>
      </c>
      <c r="S25" s="49">
        <f t="shared" si="8"/>
        <v>0</v>
      </c>
      <c r="T25" s="50">
        <f>VLOOKUP(D25,Vorgaben!$H$10:$J$16,3,0)</f>
        <v>0.29166666666666669</v>
      </c>
      <c r="U25" s="49">
        <f t="shared" si="12"/>
        <v>2.9166666666666665</v>
      </c>
      <c r="V25" s="69">
        <f t="shared" si="6"/>
        <v>0</v>
      </c>
      <c r="W25" s="69">
        <f t="shared" si="9"/>
        <v>0</v>
      </c>
      <c r="X25" s="176"/>
      <c r="Y25" s="4"/>
      <c r="Z25" s="53"/>
    </row>
    <row r="26" spans="2:26" ht="17.100000000000001" customHeight="1">
      <c r="B26" s="44">
        <f>VLOOKUP(D26,Vorgaben!$H$10:$J$16,3,0)</f>
        <v>0</v>
      </c>
      <c r="C26" s="45">
        <f t="shared" si="7"/>
        <v>44605</v>
      </c>
      <c r="D26" s="51" t="str">
        <f t="shared" si="0"/>
        <v>Samstag</v>
      </c>
      <c r="E26" s="22"/>
      <c r="F26" s="22"/>
      <c r="G26" s="47">
        <f t="shared" si="1"/>
        <v>0</v>
      </c>
      <c r="H26" s="22"/>
      <c r="I26" s="22"/>
      <c r="J26" s="47">
        <f t="shared" si="10"/>
        <v>0</v>
      </c>
      <c r="K26" s="22"/>
      <c r="L26" s="22"/>
      <c r="M26" s="47">
        <f t="shared" si="11"/>
        <v>0</v>
      </c>
      <c r="N26" s="22"/>
      <c r="O26" s="22"/>
      <c r="P26" s="25"/>
      <c r="Q26" s="47">
        <f t="shared" si="4"/>
        <v>0</v>
      </c>
      <c r="R26" s="48">
        <f t="shared" si="5"/>
        <v>0</v>
      </c>
      <c r="S26" s="49">
        <f t="shared" si="8"/>
        <v>0</v>
      </c>
      <c r="T26" s="50">
        <f>VLOOKUP(D26,Vorgaben!$H$10:$J$16,3,0)</f>
        <v>0</v>
      </c>
      <c r="U26" s="49">
        <f t="shared" si="12"/>
        <v>2.9166666666666665</v>
      </c>
      <c r="V26" s="69">
        <f t="shared" si="6"/>
        <v>0</v>
      </c>
      <c r="W26" s="69">
        <f t="shared" si="9"/>
        <v>0</v>
      </c>
      <c r="X26" s="176"/>
      <c r="Y26" s="4"/>
      <c r="Z26" s="53"/>
    </row>
    <row r="27" spans="2:26" ht="17.100000000000001" customHeight="1">
      <c r="B27" s="44">
        <f>VLOOKUP(D27,Vorgaben!$H$10:$J$16,3,0)</f>
        <v>0</v>
      </c>
      <c r="C27" s="45">
        <f t="shared" si="7"/>
        <v>44606</v>
      </c>
      <c r="D27" s="51" t="str">
        <f t="shared" si="0"/>
        <v>Sonntag</v>
      </c>
      <c r="E27" s="22"/>
      <c r="F27" s="22"/>
      <c r="G27" s="47">
        <f t="shared" si="1"/>
        <v>0</v>
      </c>
      <c r="H27" s="22"/>
      <c r="I27" s="22"/>
      <c r="J27" s="47">
        <f t="shared" si="10"/>
        <v>0</v>
      </c>
      <c r="K27" s="22"/>
      <c r="L27" s="22"/>
      <c r="M27" s="47">
        <f t="shared" si="11"/>
        <v>0</v>
      </c>
      <c r="N27" s="22"/>
      <c r="O27" s="22"/>
      <c r="P27" s="25"/>
      <c r="Q27" s="47">
        <f t="shared" si="4"/>
        <v>0</v>
      </c>
      <c r="R27" s="48">
        <f t="shared" si="5"/>
        <v>0</v>
      </c>
      <c r="S27" s="49">
        <f t="shared" si="8"/>
        <v>0</v>
      </c>
      <c r="T27" s="50">
        <f>VLOOKUP(D27,Vorgaben!$H$10:$J$16,3,0)</f>
        <v>0</v>
      </c>
      <c r="U27" s="49">
        <f t="shared" si="12"/>
        <v>2.9166666666666665</v>
      </c>
      <c r="V27" s="69">
        <f t="shared" si="6"/>
        <v>0</v>
      </c>
      <c r="W27" s="69">
        <f t="shared" si="9"/>
        <v>0</v>
      </c>
      <c r="X27" s="176"/>
      <c r="Y27" s="4"/>
      <c r="Z27" s="53"/>
    </row>
    <row r="28" spans="2:26" ht="17.100000000000001" customHeight="1">
      <c r="B28" s="44">
        <f>VLOOKUP(D28,Vorgaben!$H$10:$J$16,3,0)</f>
        <v>0.29166666666666669</v>
      </c>
      <c r="C28" s="45">
        <f t="shared" si="7"/>
        <v>44607</v>
      </c>
      <c r="D28" s="51" t="str">
        <f t="shared" si="0"/>
        <v>Montag</v>
      </c>
      <c r="E28" s="22"/>
      <c r="F28" s="22"/>
      <c r="G28" s="47">
        <f t="shared" si="1"/>
        <v>0</v>
      </c>
      <c r="H28" s="22"/>
      <c r="I28" s="22"/>
      <c r="J28" s="47">
        <f t="shared" si="10"/>
        <v>0</v>
      </c>
      <c r="K28" s="22"/>
      <c r="L28" s="22"/>
      <c r="M28" s="47">
        <f t="shared" si="11"/>
        <v>0</v>
      </c>
      <c r="N28" s="22"/>
      <c r="O28" s="22"/>
      <c r="P28" s="25"/>
      <c r="Q28" s="47">
        <f t="shared" si="4"/>
        <v>0</v>
      </c>
      <c r="R28" s="48">
        <f t="shared" si="5"/>
        <v>0</v>
      </c>
      <c r="S28" s="49">
        <f t="shared" si="8"/>
        <v>0</v>
      </c>
      <c r="T28" s="50">
        <f>VLOOKUP(D28,Vorgaben!$H$10:$J$16,3,0)</f>
        <v>0.29166666666666669</v>
      </c>
      <c r="U28" s="49">
        <f t="shared" si="12"/>
        <v>3.208333333333333</v>
      </c>
      <c r="V28" s="69">
        <f t="shared" si="6"/>
        <v>0</v>
      </c>
      <c r="W28" s="69">
        <f t="shared" si="9"/>
        <v>0</v>
      </c>
      <c r="X28" s="176"/>
      <c r="Y28" s="4"/>
      <c r="Z28" s="53"/>
    </row>
    <row r="29" spans="2:26" ht="17.100000000000001" customHeight="1">
      <c r="B29" s="44">
        <f>VLOOKUP(D29,Vorgaben!$H$10:$J$16,3,0)</f>
        <v>0.29166666666666669</v>
      </c>
      <c r="C29" s="45">
        <f t="shared" si="7"/>
        <v>44608</v>
      </c>
      <c r="D29" s="51" t="str">
        <f t="shared" si="0"/>
        <v>Dienstag</v>
      </c>
      <c r="E29" s="22"/>
      <c r="F29" s="22"/>
      <c r="G29" s="47">
        <f t="shared" si="1"/>
        <v>0</v>
      </c>
      <c r="H29" s="22"/>
      <c r="I29" s="22"/>
      <c r="J29" s="47">
        <f t="shared" si="10"/>
        <v>0</v>
      </c>
      <c r="K29" s="22"/>
      <c r="L29" s="22"/>
      <c r="M29" s="47">
        <f t="shared" si="11"/>
        <v>0</v>
      </c>
      <c r="N29" s="22"/>
      <c r="O29" s="22"/>
      <c r="P29" s="25"/>
      <c r="Q29" s="47">
        <f t="shared" si="4"/>
        <v>0</v>
      </c>
      <c r="R29" s="48">
        <f t="shared" si="5"/>
        <v>0</v>
      </c>
      <c r="S29" s="49">
        <f t="shared" si="8"/>
        <v>0</v>
      </c>
      <c r="T29" s="50">
        <f>VLOOKUP(D29,Vorgaben!$H$10:$J$16,3,0)</f>
        <v>0.29166666666666669</v>
      </c>
      <c r="U29" s="49">
        <f t="shared" si="12"/>
        <v>3.4999999999999996</v>
      </c>
      <c r="V29" s="69">
        <f t="shared" si="6"/>
        <v>0</v>
      </c>
      <c r="W29" s="69">
        <f t="shared" si="9"/>
        <v>0</v>
      </c>
      <c r="X29" s="176"/>
      <c r="Y29" s="4"/>
      <c r="Z29" s="53"/>
    </row>
    <row r="30" spans="2:26" ht="17.100000000000001" customHeight="1">
      <c r="B30" s="44">
        <f>VLOOKUP(D30,Vorgaben!$H$10:$J$16,3,0)</f>
        <v>0.29166666666666669</v>
      </c>
      <c r="C30" s="45">
        <f t="shared" si="7"/>
        <v>44609</v>
      </c>
      <c r="D30" s="51" t="str">
        <f t="shared" si="0"/>
        <v>Mittwoch</v>
      </c>
      <c r="E30" s="22"/>
      <c r="F30" s="22"/>
      <c r="G30" s="47">
        <f t="shared" si="1"/>
        <v>0</v>
      </c>
      <c r="H30" s="22"/>
      <c r="I30" s="22"/>
      <c r="J30" s="47">
        <f t="shared" si="10"/>
        <v>0</v>
      </c>
      <c r="K30" s="22"/>
      <c r="L30" s="22"/>
      <c r="M30" s="47">
        <f t="shared" si="11"/>
        <v>0</v>
      </c>
      <c r="N30" s="22"/>
      <c r="O30" s="22"/>
      <c r="P30" s="25"/>
      <c r="Q30" s="47">
        <f t="shared" si="4"/>
        <v>0</v>
      </c>
      <c r="R30" s="48">
        <f t="shared" si="5"/>
        <v>0</v>
      </c>
      <c r="S30" s="49">
        <f t="shared" si="8"/>
        <v>0</v>
      </c>
      <c r="T30" s="50">
        <f>VLOOKUP(D30,Vorgaben!$H$10:$J$16,3,0)</f>
        <v>0.29166666666666669</v>
      </c>
      <c r="U30" s="49">
        <f t="shared" si="12"/>
        <v>3.7916666666666661</v>
      </c>
      <c r="V30" s="69">
        <f t="shared" si="6"/>
        <v>0</v>
      </c>
      <c r="W30" s="69">
        <f t="shared" si="9"/>
        <v>0</v>
      </c>
      <c r="X30" s="176"/>
      <c r="Y30" s="4"/>
      <c r="Z30" s="53"/>
    </row>
    <row r="31" spans="2:26" ht="17.100000000000001" customHeight="1">
      <c r="B31" s="44">
        <f>VLOOKUP(D31,Vorgaben!$H$10:$J$16,3,0)</f>
        <v>0.29166666666666669</v>
      </c>
      <c r="C31" s="45">
        <f t="shared" si="7"/>
        <v>44610</v>
      </c>
      <c r="D31" s="51" t="str">
        <f t="shared" si="0"/>
        <v>Donnerstag</v>
      </c>
      <c r="E31" s="22"/>
      <c r="F31" s="22"/>
      <c r="G31" s="47">
        <f t="shared" si="1"/>
        <v>0</v>
      </c>
      <c r="H31" s="22"/>
      <c r="I31" s="22"/>
      <c r="J31" s="47">
        <f t="shared" si="10"/>
        <v>0</v>
      </c>
      <c r="K31" s="22"/>
      <c r="L31" s="22"/>
      <c r="M31" s="47">
        <f t="shared" si="11"/>
        <v>0</v>
      </c>
      <c r="N31" s="22"/>
      <c r="O31" s="22"/>
      <c r="P31" s="25"/>
      <c r="Q31" s="47">
        <f t="shared" si="4"/>
        <v>0</v>
      </c>
      <c r="R31" s="48">
        <f t="shared" si="5"/>
        <v>0</v>
      </c>
      <c r="S31" s="49">
        <f t="shared" si="8"/>
        <v>0</v>
      </c>
      <c r="T31" s="50">
        <f>VLOOKUP(D31,Vorgaben!$H$10:$J$16,3,0)</f>
        <v>0.29166666666666669</v>
      </c>
      <c r="U31" s="49">
        <f t="shared" si="12"/>
        <v>4.083333333333333</v>
      </c>
      <c r="V31" s="69">
        <f t="shared" si="6"/>
        <v>0</v>
      </c>
      <c r="W31" s="69">
        <f t="shared" si="9"/>
        <v>0</v>
      </c>
      <c r="X31" s="176"/>
      <c r="Y31" s="4"/>
      <c r="Z31" s="53"/>
    </row>
    <row r="32" spans="2:26" ht="17.100000000000001" customHeight="1">
      <c r="B32" s="44">
        <f>VLOOKUP(D32,Vorgaben!$H$10:$J$16,3,0)</f>
        <v>0.29166666666666669</v>
      </c>
      <c r="C32" s="45">
        <f t="shared" si="7"/>
        <v>44611</v>
      </c>
      <c r="D32" s="51" t="str">
        <f t="shared" si="0"/>
        <v>Freitag</v>
      </c>
      <c r="E32" s="22"/>
      <c r="F32" s="22"/>
      <c r="G32" s="47">
        <f t="shared" si="1"/>
        <v>0</v>
      </c>
      <c r="H32" s="22"/>
      <c r="I32" s="22"/>
      <c r="J32" s="47">
        <f t="shared" si="10"/>
        <v>0</v>
      </c>
      <c r="K32" s="22"/>
      <c r="L32" s="22"/>
      <c r="M32" s="47">
        <f t="shared" si="11"/>
        <v>0</v>
      </c>
      <c r="N32" s="22"/>
      <c r="O32" s="22"/>
      <c r="P32" s="25"/>
      <c r="Q32" s="47">
        <f t="shared" si="4"/>
        <v>0</v>
      </c>
      <c r="R32" s="48">
        <f t="shared" si="5"/>
        <v>0</v>
      </c>
      <c r="S32" s="49">
        <f t="shared" si="8"/>
        <v>0</v>
      </c>
      <c r="T32" s="50">
        <f>VLOOKUP(D32,Vorgaben!$H$10:$J$16,3,0)</f>
        <v>0.29166666666666669</v>
      </c>
      <c r="U32" s="49">
        <f t="shared" si="12"/>
        <v>4.375</v>
      </c>
      <c r="V32" s="69">
        <f>IF(AND(E32+F32+H32+I32+K32+L32=0,P32=""),0,R32-T32)</f>
        <v>0</v>
      </c>
      <c r="W32" s="69">
        <f t="shared" si="9"/>
        <v>0</v>
      </c>
      <c r="X32" s="176"/>
      <c r="Y32" s="4"/>
      <c r="Z32" s="53"/>
    </row>
    <row r="33" spans="2:26" ht="17.100000000000001" customHeight="1">
      <c r="B33" s="44">
        <f>VLOOKUP(D33,Vorgaben!$H$10:$J$16,3,0)</f>
        <v>0</v>
      </c>
      <c r="C33" s="45">
        <f t="shared" si="7"/>
        <v>44612</v>
      </c>
      <c r="D33" s="51" t="str">
        <f t="shared" si="0"/>
        <v>Samstag</v>
      </c>
      <c r="E33" s="22"/>
      <c r="F33" s="22"/>
      <c r="G33" s="47">
        <f t="shared" si="1"/>
        <v>0</v>
      </c>
      <c r="H33" s="22"/>
      <c r="I33" s="22"/>
      <c r="J33" s="47">
        <f t="shared" si="10"/>
        <v>0</v>
      </c>
      <c r="K33" s="22"/>
      <c r="L33" s="22"/>
      <c r="M33" s="47">
        <f t="shared" si="11"/>
        <v>0</v>
      </c>
      <c r="N33" s="22"/>
      <c r="O33" s="22"/>
      <c r="P33" s="25"/>
      <c r="Q33" s="47">
        <f t="shared" si="4"/>
        <v>0</v>
      </c>
      <c r="R33" s="48">
        <f t="shared" si="5"/>
        <v>0</v>
      </c>
      <c r="S33" s="49">
        <f t="shared" si="8"/>
        <v>0</v>
      </c>
      <c r="T33" s="50">
        <f>VLOOKUP(D33,Vorgaben!$H$10:$J$16,3,0)</f>
        <v>0</v>
      </c>
      <c r="U33" s="49">
        <f t="shared" si="12"/>
        <v>4.375</v>
      </c>
      <c r="V33" s="69">
        <f t="shared" si="6"/>
        <v>0</v>
      </c>
      <c r="W33" s="69">
        <f t="shared" si="9"/>
        <v>0</v>
      </c>
      <c r="X33" s="176"/>
      <c r="Y33" s="4"/>
      <c r="Z33" s="53"/>
    </row>
    <row r="34" spans="2:26" ht="17.100000000000001" customHeight="1">
      <c r="B34" s="44">
        <f>VLOOKUP(D34,Vorgaben!$H$10:$J$16,3,0)</f>
        <v>0</v>
      </c>
      <c r="C34" s="45">
        <f t="shared" si="7"/>
        <v>44613</v>
      </c>
      <c r="D34" s="51" t="str">
        <f t="shared" si="0"/>
        <v>Sonntag</v>
      </c>
      <c r="E34" s="22"/>
      <c r="F34" s="22"/>
      <c r="G34" s="47">
        <f t="shared" si="1"/>
        <v>0</v>
      </c>
      <c r="H34" s="22"/>
      <c r="I34" s="22"/>
      <c r="J34" s="47">
        <f t="shared" si="10"/>
        <v>0</v>
      </c>
      <c r="K34" s="22"/>
      <c r="L34" s="22"/>
      <c r="M34" s="47">
        <f t="shared" si="11"/>
        <v>0</v>
      </c>
      <c r="N34" s="22"/>
      <c r="O34" s="22"/>
      <c r="P34" s="25"/>
      <c r="Q34" s="47">
        <f>IF(F34=0,0,IF(F34-E34+I34-H34+L34-K34+O34-N34&gt;neun_h,0.3125,IF(AND(F34-E34+I34-H34+L34-K34+O34-N34&lt;=neun_h,F34-E34+I34-H34+L34-K34+O34-N34&gt;sechs_h),0.0208333333333333,0.00000000000000001)))</f>
        <v>0</v>
      </c>
      <c r="R34" s="48">
        <f t="shared" si="5"/>
        <v>0</v>
      </c>
      <c r="S34" s="49">
        <f t="shared" si="8"/>
        <v>0</v>
      </c>
      <c r="T34" s="50">
        <f>VLOOKUP(D34,Vorgaben!$H$10:$J$16,3,0)</f>
        <v>0</v>
      </c>
      <c r="U34" s="49">
        <f t="shared" si="12"/>
        <v>4.375</v>
      </c>
      <c r="V34" s="69">
        <f t="shared" si="6"/>
        <v>0</v>
      </c>
      <c r="W34" s="69">
        <f t="shared" si="9"/>
        <v>0</v>
      </c>
      <c r="X34" s="176"/>
      <c r="Y34" s="4"/>
      <c r="Z34" s="53"/>
    </row>
    <row r="35" spans="2:26" ht="17.100000000000001" customHeight="1">
      <c r="B35" s="44">
        <f>VLOOKUP(D35,Vorgaben!$H$10:$J$16,3,0)</f>
        <v>0.29166666666666669</v>
      </c>
      <c r="C35" s="45">
        <f t="shared" si="7"/>
        <v>44614</v>
      </c>
      <c r="D35" s="51" t="str">
        <f t="shared" si="0"/>
        <v>Montag</v>
      </c>
      <c r="E35" s="22"/>
      <c r="F35" s="22"/>
      <c r="G35" s="47">
        <f t="shared" si="1"/>
        <v>0</v>
      </c>
      <c r="H35" s="22"/>
      <c r="I35" s="22"/>
      <c r="J35" s="47">
        <f t="shared" si="10"/>
        <v>0</v>
      </c>
      <c r="K35" s="22"/>
      <c r="L35" s="22"/>
      <c r="M35" s="47">
        <f t="shared" si="11"/>
        <v>0</v>
      </c>
      <c r="N35" s="22"/>
      <c r="O35" s="22"/>
      <c r="P35" s="25"/>
      <c r="Q35" s="47">
        <f t="shared" si="4"/>
        <v>0</v>
      </c>
      <c r="R35" s="48">
        <f t="shared" si="5"/>
        <v>0</v>
      </c>
      <c r="S35" s="49">
        <f t="shared" si="8"/>
        <v>0</v>
      </c>
      <c r="T35" s="50">
        <f>VLOOKUP(D35,Vorgaben!$H$10:$J$16,3,0)</f>
        <v>0.29166666666666669</v>
      </c>
      <c r="U35" s="49">
        <f t="shared" si="12"/>
        <v>4.666666666666667</v>
      </c>
      <c r="V35" s="69">
        <f t="shared" si="6"/>
        <v>0</v>
      </c>
      <c r="W35" s="69">
        <f t="shared" si="9"/>
        <v>0</v>
      </c>
      <c r="X35" s="176"/>
      <c r="Y35" s="4"/>
      <c r="Z35" s="53"/>
    </row>
    <row r="36" spans="2:26" ht="17.100000000000001" customHeight="1">
      <c r="B36" s="44">
        <f>VLOOKUP(D36,Vorgaben!$H$10:$J$16,3,0)</f>
        <v>0.29166666666666669</v>
      </c>
      <c r="C36" s="45">
        <f t="shared" si="7"/>
        <v>44615</v>
      </c>
      <c r="D36" s="51" t="str">
        <f t="shared" si="0"/>
        <v>Dienstag</v>
      </c>
      <c r="E36" s="22"/>
      <c r="F36" s="22"/>
      <c r="G36" s="47">
        <f t="shared" si="1"/>
        <v>0</v>
      </c>
      <c r="H36" s="22"/>
      <c r="I36" s="22"/>
      <c r="J36" s="47">
        <f t="shared" si="10"/>
        <v>0</v>
      </c>
      <c r="K36" s="22"/>
      <c r="L36" s="22"/>
      <c r="M36" s="47">
        <f t="shared" si="11"/>
        <v>0</v>
      </c>
      <c r="N36" s="22"/>
      <c r="O36" s="22"/>
      <c r="P36" s="25"/>
      <c r="Q36" s="47">
        <f t="shared" si="4"/>
        <v>0</v>
      </c>
      <c r="R36" s="48">
        <f t="shared" si="5"/>
        <v>0</v>
      </c>
      <c r="S36" s="49">
        <f t="shared" si="8"/>
        <v>0</v>
      </c>
      <c r="T36" s="50">
        <f>VLOOKUP(D36,Vorgaben!$H$10:$J$16,3,0)</f>
        <v>0.29166666666666669</v>
      </c>
      <c r="U36" s="49">
        <f t="shared" si="12"/>
        <v>4.9583333333333339</v>
      </c>
      <c r="V36" s="69">
        <f t="shared" si="6"/>
        <v>0</v>
      </c>
      <c r="W36" s="69">
        <f t="shared" si="9"/>
        <v>0</v>
      </c>
      <c r="X36" s="176"/>
      <c r="Y36" s="4"/>
      <c r="Z36" s="53"/>
    </row>
    <row r="37" spans="2:26" ht="17.100000000000001" customHeight="1">
      <c r="B37" s="44">
        <f>VLOOKUP(D37,Vorgaben!$H$10:$J$16,3,0)</f>
        <v>0.29166666666666669</v>
      </c>
      <c r="C37" s="45">
        <f t="shared" si="7"/>
        <v>44616</v>
      </c>
      <c r="D37" s="51" t="str">
        <f t="shared" si="0"/>
        <v>Mittwoch</v>
      </c>
      <c r="E37" s="22"/>
      <c r="F37" s="22"/>
      <c r="G37" s="47">
        <f t="shared" si="1"/>
        <v>0</v>
      </c>
      <c r="H37" s="22"/>
      <c r="I37" s="22"/>
      <c r="J37" s="47">
        <f t="shared" si="10"/>
        <v>0</v>
      </c>
      <c r="K37" s="22"/>
      <c r="L37" s="22"/>
      <c r="M37" s="47">
        <f t="shared" si="11"/>
        <v>0</v>
      </c>
      <c r="N37" s="22"/>
      <c r="O37" s="22"/>
      <c r="P37" s="25"/>
      <c r="Q37" s="47">
        <f t="shared" si="4"/>
        <v>0</v>
      </c>
      <c r="R37" s="48">
        <f t="shared" si="5"/>
        <v>0</v>
      </c>
      <c r="S37" s="49">
        <f t="shared" si="8"/>
        <v>0</v>
      </c>
      <c r="T37" s="50">
        <f>VLOOKUP(D37,Vorgaben!$H$10:$J$16,3,0)</f>
        <v>0.29166666666666669</v>
      </c>
      <c r="U37" s="49">
        <f t="shared" si="12"/>
        <v>5.2500000000000009</v>
      </c>
      <c r="V37" s="69">
        <f t="shared" si="6"/>
        <v>0</v>
      </c>
      <c r="W37" s="69">
        <f t="shared" si="9"/>
        <v>0</v>
      </c>
      <c r="X37" s="176"/>
      <c r="Y37" s="4"/>
      <c r="Z37" s="53"/>
    </row>
    <row r="38" spans="2:26" ht="17.100000000000001" customHeight="1">
      <c r="B38" s="44">
        <f>VLOOKUP(D38,Vorgaben!$H$10:$J$16,3,0)</f>
        <v>0.29166666666666669</v>
      </c>
      <c r="C38" s="45">
        <f t="shared" si="7"/>
        <v>44617</v>
      </c>
      <c r="D38" s="51" t="str">
        <f t="shared" si="0"/>
        <v>Donnerstag</v>
      </c>
      <c r="E38" s="22"/>
      <c r="F38" s="22"/>
      <c r="G38" s="47">
        <f t="shared" si="1"/>
        <v>0</v>
      </c>
      <c r="H38" s="22"/>
      <c r="I38" s="22"/>
      <c r="J38" s="47">
        <f t="shared" si="10"/>
        <v>0</v>
      </c>
      <c r="K38" s="22"/>
      <c r="L38" s="22"/>
      <c r="M38" s="47">
        <f t="shared" si="11"/>
        <v>0</v>
      </c>
      <c r="N38" s="22"/>
      <c r="O38" s="22"/>
      <c r="P38" s="25"/>
      <c r="Q38" s="47">
        <f t="shared" si="4"/>
        <v>0</v>
      </c>
      <c r="R38" s="48">
        <f t="shared" si="5"/>
        <v>0</v>
      </c>
      <c r="S38" s="49">
        <f t="shared" si="8"/>
        <v>0</v>
      </c>
      <c r="T38" s="50">
        <f>VLOOKUP(D38,Vorgaben!$H$10:$J$16,3,0)</f>
        <v>0.29166666666666669</v>
      </c>
      <c r="U38" s="49">
        <f t="shared" si="12"/>
        <v>5.5416666666666679</v>
      </c>
      <c r="V38" s="69">
        <f t="shared" si="6"/>
        <v>0</v>
      </c>
      <c r="W38" s="69">
        <f t="shared" si="9"/>
        <v>0</v>
      </c>
      <c r="X38" s="176"/>
      <c r="Y38" s="4"/>
      <c r="Z38" s="53"/>
    </row>
    <row r="39" spans="2:26" ht="17.100000000000001" customHeight="1">
      <c r="B39" s="44">
        <f>VLOOKUP(D39,Vorgaben!$H$10:$J$16,3,0)</f>
        <v>0.29166666666666669</v>
      </c>
      <c r="C39" s="45">
        <f t="shared" si="7"/>
        <v>44618</v>
      </c>
      <c r="D39" s="51" t="str">
        <f t="shared" si="0"/>
        <v>Freitag</v>
      </c>
      <c r="E39" s="22"/>
      <c r="F39" s="22"/>
      <c r="G39" s="47">
        <f t="shared" si="1"/>
        <v>0</v>
      </c>
      <c r="H39" s="22"/>
      <c r="I39" s="22"/>
      <c r="J39" s="47">
        <f t="shared" si="10"/>
        <v>0</v>
      </c>
      <c r="K39" s="22"/>
      <c r="L39" s="22"/>
      <c r="M39" s="47">
        <f t="shared" si="11"/>
        <v>0</v>
      </c>
      <c r="N39" s="22"/>
      <c r="O39" s="22"/>
      <c r="P39" s="25"/>
      <c r="Q39" s="47">
        <f t="shared" si="4"/>
        <v>0</v>
      </c>
      <c r="R39" s="48">
        <f t="shared" si="5"/>
        <v>0</v>
      </c>
      <c r="S39" s="49">
        <f t="shared" si="8"/>
        <v>0</v>
      </c>
      <c r="T39" s="50">
        <f>VLOOKUP(D39,Vorgaben!$H$10:$J$16,3,0)</f>
        <v>0.29166666666666669</v>
      </c>
      <c r="U39" s="49">
        <f t="shared" si="12"/>
        <v>5.8333333333333348</v>
      </c>
      <c r="V39" s="69">
        <f t="shared" si="6"/>
        <v>0</v>
      </c>
      <c r="W39" s="69">
        <f t="shared" si="9"/>
        <v>0</v>
      </c>
      <c r="X39" s="176"/>
      <c r="Y39" s="4"/>
      <c r="Z39" s="53"/>
    </row>
    <row r="40" spans="2:26" ht="17.100000000000001" customHeight="1">
      <c r="B40" s="44">
        <f>VLOOKUP(D40,Vorgaben!$H$10:$J$16,3,0)</f>
        <v>0</v>
      </c>
      <c r="C40" s="45">
        <f t="shared" si="7"/>
        <v>44619</v>
      </c>
      <c r="D40" s="51" t="str">
        <f t="shared" si="0"/>
        <v>Samstag</v>
      </c>
      <c r="E40" s="22"/>
      <c r="F40" s="22"/>
      <c r="G40" s="47">
        <f t="shared" si="1"/>
        <v>0</v>
      </c>
      <c r="H40" s="22"/>
      <c r="I40" s="22"/>
      <c r="J40" s="47">
        <f t="shared" si="10"/>
        <v>0</v>
      </c>
      <c r="K40" s="22"/>
      <c r="L40" s="22"/>
      <c r="M40" s="47">
        <f t="shared" si="11"/>
        <v>0</v>
      </c>
      <c r="N40" s="22"/>
      <c r="O40" s="22"/>
      <c r="P40" s="25"/>
      <c r="Q40" s="47">
        <f t="shared" si="4"/>
        <v>0</v>
      </c>
      <c r="R40" s="48">
        <f t="shared" si="5"/>
        <v>0</v>
      </c>
      <c r="S40" s="49">
        <f t="shared" si="8"/>
        <v>0</v>
      </c>
      <c r="T40" s="50">
        <f>VLOOKUP(D40,Vorgaben!$H$10:$J$16,3,0)</f>
        <v>0</v>
      </c>
      <c r="U40" s="49">
        <f t="shared" si="12"/>
        <v>5.8333333333333348</v>
      </c>
      <c r="V40" s="69">
        <f t="shared" si="6"/>
        <v>0</v>
      </c>
      <c r="W40" s="69">
        <f t="shared" si="9"/>
        <v>0</v>
      </c>
      <c r="X40" s="176"/>
      <c r="Y40" s="4"/>
      <c r="Z40" s="53"/>
    </row>
    <row r="41" spans="2:26" ht="17.100000000000001" customHeight="1" thickBot="1">
      <c r="B41" s="44">
        <f>IF(D41="",0,VLOOKUP(D41,Vorgaben!$H$10:$J$16,3,0))</f>
        <v>0</v>
      </c>
      <c r="C41" s="55" t="str">
        <f>IF((MOD(H3,4)=0)-(MOD(H3,100)=0)+(MOD(H3,400)=0)&lt;&gt;0,C40+1,IF(C40="","",IF(MONTH(C40+1)&gt;MONTH(C40),"",C40+1)))</f>
        <v/>
      </c>
      <c r="D41" s="56" t="str">
        <f>IF(C41="","",VLOOKUP(WEEKDAY(C41),Wochentag,2))</f>
        <v/>
      </c>
      <c r="E41" s="22"/>
      <c r="F41" s="22"/>
      <c r="G41" s="47">
        <f t="shared" si="1"/>
        <v>0</v>
      </c>
      <c r="H41" s="22"/>
      <c r="I41" s="22"/>
      <c r="J41" s="47">
        <f t="shared" si="10"/>
        <v>0</v>
      </c>
      <c r="K41" s="22"/>
      <c r="L41" s="22"/>
      <c r="M41" s="47">
        <f t="shared" si="11"/>
        <v>0</v>
      </c>
      <c r="N41" s="22"/>
      <c r="O41" s="22"/>
      <c r="P41" s="25"/>
      <c r="Q41" s="47">
        <f t="shared" si="4"/>
        <v>0</v>
      </c>
      <c r="R41" s="48">
        <f t="shared" si="5"/>
        <v>0</v>
      </c>
      <c r="S41" s="57">
        <f t="shared" si="8"/>
        <v>0</v>
      </c>
      <c r="T41" s="58">
        <f>IF(D41="",0,VLOOKUP(D41,Vorgaben!$H$10:$J$16,3,0))</f>
        <v>0</v>
      </c>
      <c r="U41" s="57">
        <f t="shared" si="12"/>
        <v>5.8333333333333348</v>
      </c>
      <c r="V41" s="69">
        <f t="shared" si="6"/>
        <v>0</v>
      </c>
      <c r="W41" s="70">
        <f>IF(C41="",0,V41+W40)</f>
        <v>0</v>
      </c>
      <c r="X41" s="176"/>
      <c r="Y41" s="4"/>
      <c r="Z41" s="53"/>
    </row>
    <row r="42" spans="2:26" ht="17.100000000000001" customHeight="1" thickBot="1">
      <c r="B42" s="44">
        <f>IF(D42="",0,VLOOKUP(D42,Vorgaben!$H$10:$J$16,3,0))</f>
        <v>0</v>
      </c>
      <c r="C42" s="55" t="str">
        <f>IF(C41="","",IF(MONTH(C41+1)&gt;MONTH(C41),"",C41+1))</f>
        <v/>
      </c>
      <c r="D42" s="56" t="str">
        <f>IF(C42="","",VLOOKUP(WEEKDAY(C42),Wochentag,2))</f>
        <v/>
      </c>
      <c r="E42" s="22"/>
      <c r="F42" s="22"/>
      <c r="G42" s="47">
        <f t="shared" si="1"/>
        <v>0</v>
      </c>
      <c r="H42" s="22"/>
      <c r="I42" s="22"/>
      <c r="J42" s="47">
        <f t="shared" si="10"/>
        <v>0</v>
      </c>
      <c r="K42" s="22"/>
      <c r="L42" s="22"/>
      <c r="M42" s="47">
        <f t="shared" si="11"/>
        <v>0</v>
      </c>
      <c r="N42" s="22"/>
      <c r="O42" s="22"/>
      <c r="P42" s="25"/>
      <c r="Q42" s="47">
        <f t="shared" si="4"/>
        <v>0</v>
      </c>
      <c r="R42" s="48">
        <f t="shared" si="5"/>
        <v>0</v>
      </c>
      <c r="S42" s="57">
        <f t="shared" si="8"/>
        <v>0</v>
      </c>
      <c r="T42" s="58">
        <f>IF(D42="",0,VLOOKUP(D42,Vorgaben!$H$10:$J$16,3,0))</f>
        <v>0</v>
      </c>
      <c r="U42" s="57">
        <f t="shared" si="12"/>
        <v>5.8333333333333348</v>
      </c>
      <c r="V42" s="69">
        <f t="shared" si="6"/>
        <v>0</v>
      </c>
      <c r="W42" s="70">
        <f>IF(C42="",0,V42+W41)</f>
        <v>0</v>
      </c>
      <c r="X42" s="176"/>
      <c r="Y42" s="4"/>
      <c r="Z42" s="53"/>
    </row>
    <row r="43" spans="2:26" ht="17.100000000000001" customHeight="1" thickBot="1">
      <c r="B43" s="44">
        <f>IF(D43="",0,VLOOKUP(D43,Vorgaben!$H$10:$J$16,3,0))</f>
        <v>0</v>
      </c>
      <c r="C43" s="55" t="str">
        <f>IF(C42="","",IF(MONTH(C42+1)&gt;MONTH(C42),"",C42+1))</f>
        <v/>
      </c>
      <c r="D43" s="56" t="str">
        <f>IF(C43="","",VLOOKUP(WEEKDAY(C43),Wochentag,2))</f>
        <v/>
      </c>
      <c r="E43" s="27"/>
      <c r="F43" s="27"/>
      <c r="G43" s="59">
        <f t="shared" si="1"/>
        <v>0</v>
      </c>
      <c r="H43" s="27"/>
      <c r="I43" s="27"/>
      <c r="J43" s="59">
        <f t="shared" si="10"/>
        <v>0</v>
      </c>
      <c r="K43" s="27"/>
      <c r="L43" s="27"/>
      <c r="M43" s="59">
        <f t="shared" si="11"/>
        <v>0</v>
      </c>
      <c r="N43" s="27"/>
      <c r="O43" s="27"/>
      <c r="P43" s="28"/>
      <c r="Q43" s="59">
        <f t="shared" si="4"/>
        <v>0</v>
      </c>
      <c r="R43" s="60">
        <f t="shared" si="5"/>
        <v>0</v>
      </c>
      <c r="S43" s="57">
        <f t="shared" si="8"/>
        <v>0</v>
      </c>
      <c r="T43" s="58">
        <f>IF(D43="",0,VLOOKUP(D43,Vorgaben!$H$10:$J$16,3,0))</f>
        <v>0</v>
      </c>
      <c r="U43" s="57">
        <f t="shared" si="12"/>
        <v>5.8333333333333348</v>
      </c>
      <c r="V43" s="70">
        <f t="shared" si="6"/>
        <v>0</v>
      </c>
      <c r="W43" s="70">
        <f>IF(C43="",0,V43+W42)</f>
        <v>0</v>
      </c>
      <c r="X43" s="177"/>
      <c r="Y43" s="4"/>
      <c r="Z43" s="53"/>
    </row>
    <row r="44" spans="2:26" ht="19.5" customHeight="1">
      <c r="B44" s="44"/>
      <c r="C44" s="4"/>
      <c r="D44" s="4"/>
      <c r="E44" s="6"/>
      <c r="F44" s="6"/>
      <c r="G44" s="6"/>
      <c r="H44" s="6"/>
      <c r="I44" s="6"/>
      <c r="J44" s="6"/>
      <c r="K44" s="6"/>
      <c r="L44" s="4"/>
      <c r="M44" s="6"/>
      <c r="N44" s="6"/>
      <c r="O44" s="6"/>
      <c r="P44" s="4"/>
      <c r="Q44" s="6"/>
      <c r="R44" s="61">
        <f>SUM(R13:R43)</f>
        <v>0</v>
      </c>
      <c r="S44" s="62"/>
      <c r="T44" s="61">
        <f>SUM(T13:T43)</f>
        <v>5.8333333333333348</v>
      </c>
      <c r="U44" s="61"/>
      <c r="V44" s="63">
        <f>SUM(V13:V43)</f>
        <v>0</v>
      </c>
      <c r="W44" s="4"/>
      <c r="X44" s="4"/>
      <c r="Y44" s="4"/>
    </row>
    <row r="45" spans="2:26">
      <c r="B45" s="64"/>
      <c r="C45" s="65"/>
      <c r="D45" s="65"/>
      <c r="E45" s="65"/>
      <c r="F45" s="65"/>
      <c r="G45" s="65"/>
      <c r="Q45" s="65"/>
    </row>
    <row r="1048568" spans="20:20">
      <c r="T1048568" s="53">
        <v>0.29166666666666669</v>
      </c>
    </row>
  </sheetData>
  <sheetProtection password="DEB9" sheet="1" selectLockedCells="1"/>
  <mergeCells count="4">
    <mergeCell ref="F3:G3"/>
    <mergeCell ref="U4:W4"/>
    <mergeCell ref="G5:L5"/>
    <mergeCell ref="C5:E5"/>
  </mergeCells>
  <conditionalFormatting sqref="E13:F43 H13:I43 K13:L43 N13:P43">
    <cfRule type="expression" dxfId="11" priority="6">
      <formula>$B13=0</formula>
    </cfRule>
  </conditionalFormatting>
  <conditionalFormatting sqref="U13:U43">
    <cfRule type="expression" dxfId="10" priority="5">
      <formula>$U12=$U13</formula>
    </cfRule>
  </conditionalFormatting>
  <conditionalFormatting sqref="W13:W43">
    <cfRule type="expression" dxfId="9" priority="4">
      <formula>AND($F13="",$P13="")</formula>
    </cfRule>
  </conditionalFormatting>
  <conditionalFormatting sqref="G13:G43 J13:J43 M13:M43 Q13:R43 T13:T43">
    <cfRule type="cellIs" dxfId="8" priority="3" operator="equal">
      <formula>0</formula>
    </cfRule>
  </conditionalFormatting>
  <conditionalFormatting sqref="S13:S43">
    <cfRule type="expression" dxfId="7" priority="2">
      <formula>$S12=$S13</formula>
    </cfRule>
  </conditionalFormatting>
  <conditionalFormatting sqref="V13:V43">
    <cfRule type="expression" dxfId="6" priority="1">
      <formula>AND($T13=0,$R13=0)</formula>
    </cfRule>
  </conditionalFormatting>
  <dataValidations count="1">
    <dataValidation type="list" allowBlank="1" showInputMessage="1" showErrorMessage="1" sqref="P13:P43">
      <formula1>$X$5:$X$10</formula1>
    </dataValidation>
  </dataValidations>
  <pageMargins left="0.11811023622047245" right="0.11811023622047245" top="0.39370078740157483" bottom="0.39370078740157483" header="0.23622047244094491" footer="0.23622047244094491"/>
  <pageSetup paperSize="9" scale="77" orientation="landscape" r:id="rId1"/>
  <headerFooter>
    <oddFooter>&amp;L&amp;8&amp;D&amp;C&amp;8&amp;A&amp;R&amp;8Copyright by Joachim Becker WebSolutions / ControllerSpielwiese.de</oddFooter>
  </headerFooter>
  <ignoredErrors>
    <ignoredError sqref="V13" 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B1:L262"/>
  <sheetViews>
    <sheetView workbookViewId="0">
      <pane ySplit="12" topLeftCell="A13" activePane="bottomLeft" state="frozen"/>
      <selection pane="bottomLeft"/>
    </sheetView>
  </sheetViews>
  <sheetFormatPr baseColWidth="10" defaultColWidth="11.42578125" defaultRowHeight="15"/>
  <cols>
    <col min="1" max="1" width="1.140625" customWidth="1"/>
    <col min="2" max="2" width="3.28515625" customWidth="1"/>
    <col min="3" max="3" width="4" customWidth="1"/>
    <col min="4" max="4" width="60.85546875" customWidth="1"/>
    <col min="7" max="7" width="13.7109375" customWidth="1"/>
  </cols>
  <sheetData>
    <row r="1" spans="2:12" ht="5.25" customHeight="1"/>
    <row r="2" spans="2:12" ht="21">
      <c r="B2" s="108" t="s">
        <v>121</v>
      </c>
      <c r="C2" s="109"/>
      <c r="D2" s="109"/>
      <c r="E2" s="109"/>
      <c r="F2" s="109"/>
      <c r="G2" s="109"/>
      <c r="H2" s="109"/>
      <c r="I2" s="109"/>
      <c r="J2" s="109"/>
    </row>
    <row r="3" spans="2:12" ht="15" customHeight="1">
      <c r="B3" s="110"/>
      <c r="C3" s="111"/>
      <c r="D3" s="112"/>
      <c r="E3" s="112"/>
      <c r="F3" s="112"/>
      <c r="G3" s="113"/>
      <c r="H3" s="113"/>
      <c r="I3" s="113"/>
      <c r="J3" s="113"/>
    </row>
    <row r="4" spans="2:12" ht="15" customHeight="1">
      <c r="B4" s="114"/>
      <c r="C4" s="115"/>
      <c r="D4" s="116"/>
      <c r="E4" s="116"/>
      <c r="F4" s="116"/>
      <c r="G4" s="117"/>
      <c r="H4" s="117"/>
      <c r="I4" s="117"/>
      <c r="J4" s="117"/>
      <c r="L4" s="118"/>
    </row>
    <row r="5" spans="2:12" ht="8.25" customHeight="1"/>
    <row r="6" spans="2:12" ht="15" customHeight="1">
      <c r="B6" s="119" t="s">
        <v>84</v>
      </c>
      <c r="C6" s="102"/>
      <c r="D6" s="102"/>
      <c r="E6" s="102"/>
      <c r="F6" s="102"/>
      <c r="G6" s="102"/>
      <c r="H6" s="102"/>
      <c r="I6" s="102"/>
      <c r="J6" s="102"/>
    </row>
    <row r="7" spans="2:12" ht="6.75" customHeight="1">
      <c r="B7" s="102"/>
      <c r="C7" s="102"/>
      <c r="D7" s="102"/>
      <c r="E7" s="102"/>
      <c r="F7" s="102"/>
      <c r="G7" s="102"/>
      <c r="H7" s="120"/>
      <c r="I7" s="121"/>
      <c r="J7" s="102"/>
    </row>
    <row r="8" spans="2:12" ht="15.75">
      <c r="B8" s="102"/>
      <c r="C8" s="122" t="s">
        <v>85</v>
      </c>
      <c r="D8" s="123" t="s">
        <v>113</v>
      </c>
      <c r="E8" s="102"/>
      <c r="F8" s="102"/>
      <c r="G8" s="102"/>
      <c r="H8" s="124"/>
      <c r="I8" s="102"/>
      <c r="J8" s="102"/>
      <c r="L8" s="199"/>
    </row>
    <row r="9" spans="2:12" ht="15.75">
      <c r="B9" s="102"/>
      <c r="C9" s="122" t="s">
        <v>86</v>
      </c>
      <c r="D9" s="123" t="s">
        <v>134</v>
      </c>
      <c r="E9" s="102"/>
      <c r="F9" s="102"/>
      <c r="G9" s="102"/>
      <c r="H9" s="124"/>
      <c r="I9" s="102"/>
      <c r="J9" s="102"/>
    </row>
    <row r="10" spans="2:12" ht="15.75">
      <c r="B10" s="102"/>
      <c r="C10" s="122" t="s">
        <v>87</v>
      </c>
      <c r="D10" s="123" t="s">
        <v>88</v>
      </c>
      <c r="E10" s="102"/>
      <c r="F10" s="102"/>
      <c r="G10" s="102"/>
      <c r="H10" s="124"/>
      <c r="I10" s="125"/>
      <c r="J10" s="102"/>
      <c r="L10" s="126"/>
    </row>
    <row r="11" spans="2:12" ht="15.75">
      <c r="B11" s="102"/>
      <c r="C11" s="122" t="s">
        <v>89</v>
      </c>
      <c r="D11" s="123" t="s">
        <v>122</v>
      </c>
      <c r="E11" s="102"/>
      <c r="F11" s="102"/>
      <c r="G11" s="102"/>
      <c r="H11" s="124"/>
      <c r="I11" s="125"/>
      <c r="J11" s="102"/>
    </row>
    <row r="12" spans="2:12" ht="6.75" customHeight="1">
      <c r="B12" s="102"/>
      <c r="C12" s="102"/>
      <c r="D12" s="102"/>
      <c r="E12" s="102"/>
      <c r="F12" s="102"/>
      <c r="G12" s="102"/>
      <c r="H12" s="120"/>
      <c r="I12" s="121"/>
      <c r="J12" s="102"/>
    </row>
    <row r="13" spans="2:12" ht="18.75">
      <c r="B13" s="119" t="str">
        <f>CONCATENATE($C$8," ",$D$8)</f>
        <v>1. Technische Informationen zur Anwendung für das Zeiterfassungs-Tool</v>
      </c>
      <c r="C13" s="102"/>
      <c r="D13" s="102"/>
      <c r="E13" s="102"/>
      <c r="F13" s="102"/>
      <c r="G13" s="102"/>
      <c r="H13" s="102"/>
      <c r="I13" s="102"/>
      <c r="J13" s="102"/>
    </row>
    <row r="14" spans="2:12">
      <c r="B14" s="102"/>
      <c r="C14" s="102"/>
      <c r="D14" s="102"/>
      <c r="E14" s="102"/>
      <c r="F14" s="102"/>
      <c r="G14" s="102"/>
      <c r="H14" s="102"/>
      <c r="I14" s="102"/>
      <c r="J14" s="102"/>
    </row>
    <row r="15" spans="2:12" ht="15.75">
      <c r="B15" s="127"/>
      <c r="C15" s="128" t="s">
        <v>90</v>
      </c>
      <c r="D15" s="128"/>
      <c r="E15" s="128"/>
      <c r="F15" s="128"/>
      <c r="G15" s="128"/>
      <c r="H15" s="128"/>
      <c r="I15" s="128"/>
      <c r="J15" s="128"/>
    </row>
    <row r="16" spans="2:12" ht="15.75">
      <c r="B16" s="102"/>
      <c r="C16" s="129" t="s">
        <v>91</v>
      </c>
      <c r="D16" s="128"/>
      <c r="E16" s="128"/>
      <c r="F16" s="129" t="s">
        <v>92</v>
      </c>
      <c r="G16" s="128"/>
      <c r="H16" s="128"/>
      <c r="I16" s="128"/>
      <c r="J16" s="128"/>
    </row>
    <row r="17" spans="2:10" ht="15.75">
      <c r="B17" s="102"/>
      <c r="C17" s="128"/>
      <c r="D17" s="130" t="s">
        <v>117</v>
      </c>
      <c r="E17" s="128"/>
      <c r="F17" s="186" t="s">
        <v>119</v>
      </c>
      <c r="G17" s="186"/>
      <c r="H17" s="131"/>
      <c r="I17" s="128"/>
      <c r="J17" s="128"/>
    </row>
    <row r="18" spans="2:10" ht="15.75">
      <c r="B18" s="102"/>
      <c r="C18" s="128"/>
      <c r="D18" s="130" t="s">
        <v>118</v>
      </c>
      <c r="E18" s="128"/>
      <c r="F18" s="186" t="s">
        <v>137</v>
      </c>
      <c r="G18" s="186"/>
      <c r="H18" s="131"/>
      <c r="I18" s="128"/>
      <c r="J18" s="128"/>
    </row>
    <row r="19" spans="2:10" ht="15.75">
      <c r="B19" s="102"/>
      <c r="C19" s="128"/>
      <c r="D19" s="130" t="s">
        <v>143</v>
      </c>
      <c r="E19" s="128"/>
      <c r="F19" s="144" t="s">
        <v>231</v>
      </c>
      <c r="G19" s="144"/>
      <c r="H19" s="131"/>
      <c r="I19" s="128"/>
      <c r="J19" s="128"/>
    </row>
    <row r="20" spans="2:10" ht="15" customHeight="1">
      <c r="B20" s="102"/>
      <c r="C20" s="128"/>
      <c r="D20" s="132" t="s">
        <v>120</v>
      </c>
      <c r="E20" s="128"/>
      <c r="F20" s="128"/>
      <c r="G20" s="128"/>
      <c r="H20" s="128"/>
      <c r="I20" s="128"/>
      <c r="J20" s="128"/>
    </row>
    <row r="21" spans="2:10" ht="15" customHeight="1">
      <c r="B21" s="102"/>
      <c r="C21" s="128"/>
      <c r="D21" s="133"/>
      <c r="E21" s="128"/>
      <c r="F21" s="128"/>
      <c r="G21" s="128"/>
      <c r="H21" s="128"/>
      <c r="I21" s="128"/>
      <c r="J21" s="128"/>
    </row>
    <row r="22" spans="2:10" ht="15" customHeight="1">
      <c r="B22" s="102"/>
      <c r="C22" s="128" t="s">
        <v>123</v>
      </c>
      <c r="D22" s="128"/>
      <c r="E22" s="128"/>
      <c r="F22" s="128"/>
      <c r="G22" s="128"/>
      <c r="H22" s="128"/>
      <c r="I22" s="128"/>
      <c r="J22" s="128"/>
    </row>
    <row r="23" spans="2:10" ht="15" customHeight="1">
      <c r="B23" s="102"/>
      <c r="C23" s="128" t="s">
        <v>124</v>
      </c>
      <c r="D23" s="128"/>
      <c r="E23" s="128"/>
      <c r="F23" s="128"/>
      <c r="G23" s="128"/>
      <c r="H23" s="128"/>
      <c r="I23" s="128"/>
      <c r="J23" s="128"/>
    </row>
    <row r="24" spans="2:10" ht="15" customHeight="1">
      <c r="B24" s="102"/>
      <c r="C24" s="128" t="s">
        <v>93</v>
      </c>
      <c r="D24" s="128"/>
      <c r="E24" s="128"/>
      <c r="F24" s="128"/>
      <c r="G24" s="128"/>
      <c r="H24" s="128"/>
      <c r="I24" s="128"/>
      <c r="J24" s="128"/>
    </row>
    <row r="25" spans="2:10" ht="15" customHeight="1">
      <c r="B25" s="102"/>
      <c r="C25" s="128"/>
      <c r="D25" s="134" t="s">
        <v>230</v>
      </c>
      <c r="E25" s="128"/>
      <c r="F25" s="128"/>
      <c r="G25" s="128"/>
      <c r="H25" s="128"/>
      <c r="I25" s="128"/>
      <c r="J25" s="128"/>
    </row>
    <row r="26" spans="2:10" ht="15" customHeight="1">
      <c r="B26" s="102"/>
      <c r="C26" s="128"/>
      <c r="D26" s="134" t="s">
        <v>226</v>
      </c>
      <c r="E26" s="128"/>
      <c r="F26" s="128"/>
      <c r="G26" s="128"/>
      <c r="H26" s="128"/>
      <c r="I26" s="128"/>
      <c r="J26" s="128"/>
    </row>
    <row r="27" spans="2:10" ht="15" customHeight="1">
      <c r="B27" s="102"/>
      <c r="C27" s="128"/>
      <c r="D27" s="134" t="s">
        <v>129</v>
      </c>
      <c r="E27" s="128"/>
      <c r="F27" s="128"/>
      <c r="G27" s="128"/>
      <c r="H27" s="128"/>
      <c r="I27" s="128"/>
      <c r="J27" s="128"/>
    </row>
    <row r="28" spans="2:10" ht="15" customHeight="1">
      <c r="B28" s="102"/>
      <c r="C28" s="128"/>
      <c r="D28" s="134" t="s">
        <v>126</v>
      </c>
      <c r="E28" s="128"/>
      <c r="F28" s="128"/>
      <c r="G28" s="128"/>
      <c r="H28" s="128"/>
      <c r="I28" s="128"/>
      <c r="J28" s="128"/>
    </row>
    <row r="29" spans="2:10" ht="15" customHeight="1">
      <c r="B29" s="102"/>
      <c r="C29" s="128"/>
      <c r="D29" s="134" t="s">
        <v>94</v>
      </c>
      <c r="E29" s="128"/>
      <c r="F29" s="128"/>
      <c r="G29" s="128"/>
      <c r="H29" s="128"/>
      <c r="I29" s="128"/>
      <c r="J29" s="128"/>
    </row>
    <row r="30" spans="2:10" ht="15" customHeight="1">
      <c r="B30" s="102"/>
      <c r="C30" s="128"/>
      <c r="D30" s="134" t="s">
        <v>229</v>
      </c>
      <c r="E30" s="128"/>
      <c r="F30" s="128"/>
      <c r="G30" s="128"/>
      <c r="H30" s="128"/>
      <c r="I30" s="128"/>
      <c r="J30" s="128"/>
    </row>
    <row r="31" spans="2:10" ht="15" customHeight="1">
      <c r="B31" s="102"/>
      <c r="C31" s="128"/>
      <c r="D31" s="134" t="s">
        <v>239</v>
      </c>
      <c r="E31" s="128"/>
      <c r="F31" s="128"/>
      <c r="G31" s="128"/>
      <c r="H31" s="128"/>
      <c r="I31" s="128"/>
      <c r="J31" s="128"/>
    </row>
    <row r="32" spans="2:10" ht="15" customHeight="1">
      <c r="B32" s="102"/>
      <c r="C32" s="128"/>
      <c r="D32" s="134" t="s">
        <v>131</v>
      </c>
      <c r="E32" s="128"/>
      <c r="F32" s="128"/>
      <c r="G32" s="128"/>
      <c r="H32" s="128"/>
      <c r="I32" s="128"/>
      <c r="J32" s="128"/>
    </row>
    <row r="33" spans="2:10" ht="15" customHeight="1">
      <c r="B33" s="102"/>
      <c r="C33" s="128"/>
      <c r="D33" s="134" t="s">
        <v>228</v>
      </c>
      <c r="E33" s="128"/>
      <c r="F33" s="128"/>
      <c r="G33" s="128"/>
      <c r="H33" s="128"/>
      <c r="I33" s="128"/>
      <c r="J33" s="128"/>
    </row>
    <row r="34" spans="2:10" ht="15" customHeight="1">
      <c r="B34" s="102"/>
      <c r="C34" s="128"/>
      <c r="D34" s="134" t="s">
        <v>95</v>
      </c>
      <c r="E34" s="128"/>
      <c r="F34" s="128"/>
      <c r="G34" s="128"/>
      <c r="H34" s="128"/>
      <c r="I34" s="128"/>
      <c r="J34" s="128"/>
    </row>
    <row r="35" spans="2:10" ht="15" customHeight="1">
      <c r="B35" s="102"/>
      <c r="C35" s="128"/>
      <c r="D35" s="134" t="s">
        <v>128</v>
      </c>
      <c r="E35" s="128"/>
      <c r="F35" s="128"/>
      <c r="G35" s="128"/>
      <c r="H35" s="128"/>
      <c r="I35" s="128"/>
      <c r="J35" s="128"/>
    </row>
    <row r="36" spans="2:10" ht="15" customHeight="1">
      <c r="B36" s="102"/>
      <c r="C36" s="128"/>
      <c r="D36" s="134" t="s">
        <v>125</v>
      </c>
      <c r="E36" s="128"/>
      <c r="F36" s="128"/>
      <c r="G36" s="128"/>
      <c r="H36" s="128"/>
      <c r="I36" s="128"/>
      <c r="J36" s="128"/>
    </row>
    <row r="37" spans="2:10" ht="15" customHeight="1">
      <c r="B37" s="102"/>
      <c r="C37" s="128"/>
      <c r="D37" s="134" t="s">
        <v>96</v>
      </c>
      <c r="E37" s="128"/>
      <c r="F37" s="128"/>
      <c r="G37" s="128"/>
      <c r="H37" s="128"/>
      <c r="I37" s="128"/>
      <c r="J37" s="128"/>
    </row>
    <row r="38" spans="2:10" ht="15" customHeight="1">
      <c r="B38" s="102"/>
      <c r="C38" s="128"/>
      <c r="D38" s="134" t="s">
        <v>97</v>
      </c>
      <c r="E38" s="128"/>
      <c r="F38" s="128"/>
      <c r="G38" s="128"/>
      <c r="H38" s="128"/>
      <c r="I38" s="128"/>
      <c r="J38" s="128"/>
    </row>
    <row r="39" spans="2:10" ht="15" customHeight="1">
      <c r="B39" s="102"/>
      <c r="C39" s="128"/>
      <c r="D39" s="134" t="s">
        <v>98</v>
      </c>
      <c r="E39" s="128"/>
      <c r="F39" s="128"/>
      <c r="G39" s="128"/>
      <c r="H39" s="128"/>
      <c r="I39" s="128"/>
      <c r="J39" s="128"/>
    </row>
    <row r="40" spans="2:10" ht="15" customHeight="1">
      <c r="B40" s="102"/>
      <c r="C40" s="128"/>
      <c r="D40" s="134" t="s">
        <v>227</v>
      </c>
      <c r="E40" s="128"/>
      <c r="F40" s="128"/>
      <c r="G40" s="128"/>
      <c r="H40" s="128"/>
      <c r="I40" s="128"/>
      <c r="J40" s="128"/>
    </row>
    <row r="41" spans="2:10" ht="15" customHeight="1">
      <c r="B41" s="102"/>
      <c r="C41" s="128"/>
      <c r="D41" s="134" t="s">
        <v>127</v>
      </c>
      <c r="E41" s="128"/>
      <c r="F41" s="128"/>
      <c r="G41" s="128"/>
      <c r="H41" s="128"/>
      <c r="I41" s="128"/>
      <c r="J41" s="128"/>
    </row>
    <row r="42" spans="2:10" ht="15" customHeight="1">
      <c r="B42" s="102"/>
      <c r="C42" s="128"/>
      <c r="D42" s="128" t="s">
        <v>130</v>
      </c>
      <c r="E42" s="128"/>
      <c r="F42" s="128"/>
      <c r="G42" s="128"/>
      <c r="H42" s="128"/>
      <c r="I42" s="128"/>
      <c r="J42" s="128"/>
    </row>
    <row r="43" spans="2:10" ht="15.75">
      <c r="B43" s="102"/>
      <c r="C43" s="128"/>
      <c r="D43" s="128"/>
      <c r="E43" s="128"/>
      <c r="F43" s="128"/>
      <c r="G43" s="128"/>
      <c r="H43" s="128"/>
      <c r="I43" s="128"/>
      <c r="J43" s="128"/>
    </row>
    <row r="44" spans="2:10" ht="15.75">
      <c r="B44" s="102"/>
      <c r="C44" s="132" t="s">
        <v>132</v>
      </c>
      <c r="D44" s="128"/>
      <c r="E44" s="128"/>
      <c r="F44" s="128"/>
      <c r="G44" s="128"/>
      <c r="H44" s="128"/>
      <c r="I44" s="128"/>
      <c r="J44" s="128"/>
    </row>
    <row r="45" spans="2:10" ht="15.75">
      <c r="B45" s="102"/>
      <c r="C45" s="128"/>
      <c r="D45" s="128"/>
      <c r="E45" s="128"/>
      <c r="F45" s="128"/>
      <c r="G45" s="128"/>
      <c r="H45" s="128"/>
      <c r="I45" s="128"/>
      <c r="J45" s="128"/>
    </row>
    <row r="46" spans="2:10" ht="15.75">
      <c r="B46" s="102"/>
      <c r="C46" s="134" t="s">
        <v>133</v>
      </c>
      <c r="D46" s="128"/>
      <c r="E46" s="128"/>
      <c r="F46" s="128"/>
      <c r="G46" s="128"/>
      <c r="H46" s="128"/>
      <c r="I46" s="128"/>
      <c r="J46" s="128"/>
    </row>
    <row r="47" spans="2:10" ht="15.75">
      <c r="B47" s="102"/>
      <c r="C47" s="134" t="s">
        <v>135</v>
      </c>
      <c r="D47" s="135"/>
      <c r="E47" s="128"/>
      <c r="F47" s="128"/>
      <c r="G47" s="128"/>
      <c r="H47" s="128"/>
      <c r="I47" s="128"/>
      <c r="J47" s="128"/>
    </row>
    <row r="48" spans="2:10" ht="15.75">
      <c r="B48" s="102"/>
      <c r="C48" s="134" t="s">
        <v>252</v>
      </c>
      <c r="D48" s="135"/>
      <c r="E48" s="128"/>
      <c r="F48" s="128"/>
      <c r="G48" s="128"/>
      <c r="H48" s="128"/>
      <c r="I48" s="128"/>
      <c r="J48" s="128"/>
    </row>
    <row r="49" spans="2:10" ht="15.75">
      <c r="B49" s="102"/>
      <c r="C49" s="134" t="s">
        <v>253</v>
      </c>
      <c r="D49" s="135"/>
      <c r="E49" s="128"/>
      <c r="F49" s="128"/>
      <c r="G49" s="128"/>
      <c r="H49" s="128"/>
      <c r="I49" s="128"/>
      <c r="J49" s="128"/>
    </row>
    <row r="50" spans="2:10" ht="15.75">
      <c r="B50" s="102"/>
      <c r="C50" s="134" t="s">
        <v>254</v>
      </c>
      <c r="D50" s="135"/>
      <c r="E50" s="128"/>
      <c r="F50" s="128"/>
      <c r="G50" s="128"/>
      <c r="H50" s="128"/>
      <c r="I50" s="128"/>
      <c r="J50" s="128"/>
    </row>
    <row r="51" spans="2:10" ht="15.75">
      <c r="B51" s="102"/>
      <c r="C51" s="134" t="s">
        <v>255</v>
      </c>
      <c r="D51" s="135"/>
      <c r="E51" s="128"/>
      <c r="F51" s="128"/>
      <c r="G51" s="128"/>
      <c r="H51" s="128"/>
      <c r="I51" s="128"/>
      <c r="J51" s="128"/>
    </row>
    <row r="52" spans="2:10" ht="15.75">
      <c r="B52" s="102"/>
      <c r="C52" s="134" t="s">
        <v>256</v>
      </c>
      <c r="D52" s="135"/>
      <c r="E52" s="128"/>
      <c r="F52" s="128"/>
      <c r="G52" s="128"/>
      <c r="H52" s="128"/>
      <c r="I52" s="128"/>
      <c r="J52" s="128"/>
    </row>
    <row r="53" spans="2:10" ht="15.75">
      <c r="B53" s="102"/>
      <c r="C53" s="134" t="s">
        <v>257</v>
      </c>
      <c r="D53" s="135"/>
      <c r="E53" s="128"/>
      <c r="F53" s="128"/>
      <c r="G53" s="128"/>
      <c r="H53" s="128"/>
      <c r="I53" s="128"/>
      <c r="J53" s="128"/>
    </row>
    <row r="54" spans="2:10" ht="15.75">
      <c r="B54" s="102"/>
      <c r="C54" s="134" t="s">
        <v>136</v>
      </c>
      <c r="D54" s="135"/>
      <c r="E54" s="128"/>
      <c r="F54" s="128"/>
      <c r="G54" s="128"/>
      <c r="H54" s="128"/>
      <c r="I54" s="128"/>
      <c r="J54" s="128"/>
    </row>
    <row r="55" spans="2:10" ht="15.75">
      <c r="B55" s="102"/>
      <c r="C55" s="134" t="s">
        <v>258</v>
      </c>
      <c r="D55" s="135"/>
      <c r="E55" s="128"/>
      <c r="F55" s="128"/>
      <c r="G55" s="128"/>
      <c r="H55" s="128"/>
      <c r="I55" s="128"/>
      <c r="J55" s="128"/>
    </row>
    <row r="56" spans="2:10" ht="15.75">
      <c r="B56" s="102"/>
      <c r="C56" s="134" t="s">
        <v>99</v>
      </c>
      <c r="D56" s="135"/>
      <c r="E56" s="128"/>
      <c r="F56" s="128"/>
      <c r="G56" s="128"/>
      <c r="H56" s="128"/>
      <c r="I56" s="128"/>
      <c r="J56" s="128"/>
    </row>
    <row r="57" spans="2:10" ht="15.75">
      <c r="B57" s="102"/>
      <c r="C57" s="134" t="s">
        <v>259</v>
      </c>
      <c r="D57" s="135"/>
      <c r="E57" s="128"/>
      <c r="F57" s="128"/>
      <c r="G57" s="128"/>
      <c r="H57" s="128"/>
      <c r="I57" s="128"/>
      <c r="J57" s="128"/>
    </row>
    <row r="58" spans="2:10" ht="15.75">
      <c r="B58" s="102"/>
      <c r="C58" s="128"/>
      <c r="D58" s="128"/>
      <c r="E58" s="128"/>
      <c r="F58" s="128"/>
      <c r="G58" s="128"/>
      <c r="H58" s="128"/>
      <c r="I58" s="128"/>
      <c r="J58" s="128"/>
    </row>
    <row r="59" spans="2:10" ht="15.75">
      <c r="B59" s="102"/>
      <c r="C59" s="132" t="s">
        <v>138</v>
      </c>
      <c r="D59" s="128"/>
      <c r="E59" s="128"/>
      <c r="F59" s="128"/>
      <c r="G59" s="128"/>
      <c r="H59" s="128"/>
      <c r="I59" s="128"/>
      <c r="J59" s="128"/>
    </row>
    <row r="60" spans="2:10" ht="15.75">
      <c r="B60" s="102"/>
      <c r="C60" s="128"/>
      <c r="D60" s="128"/>
      <c r="E60" s="128"/>
      <c r="F60" s="128"/>
      <c r="G60" s="128"/>
      <c r="H60" s="128"/>
      <c r="I60" s="128"/>
      <c r="J60" s="128"/>
    </row>
    <row r="61" spans="2:10" ht="15.75">
      <c r="B61" s="102"/>
      <c r="C61" s="134" t="s">
        <v>232</v>
      </c>
      <c r="D61" s="128"/>
      <c r="E61" s="128"/>
      <c r="F61" s="128"/>
      <c r="G61" s="128"/>
      <c r="H61" s="128"/>
      <c r="I61" s="128"/>
      <c r="J61" s="128"/>
    </row>
    <row r="62" spans="2:10" ht="15.75">
      <c r="B62" s="102"/>
      <c r="C62" s="134" t="s">
        <v>261</v>
      </c>
      <c r="D62" s="128"/>
      <c r="E62" s="128"/>
      <c r="F62" s="128"/>
      <c r="G62" s="128"/>
      <c r="H62" s="128"/>
      <c r="I62" s="128"/>
      <c r="J62" s="128"/>
    </row>
    <row r="63" spans="2:10" ht="15.75">
      <c r="B63" s="102"/>
      <c r="C63" s="134" t="s">
        <v>262</v>
      </c>
      <c r="D63" s="128"/>
      <c r="E63" s="128"/>
      <c r="F63" s="128"/>
      <c r="G63" s="128"/>
      <c r="H63" s="128"/>
      <c r="I63" s="128"/>
      <c r="J63" s="128"/>
    </row>
    <row r="64" spans="2:10" ht="15.75">
      <c r="B64" s="102"/>
      <c r="C64" s="134" t="s">
        <v>263</v>
      </c>
      <c r="D64" s="128"/>
      <c r="E64" s="128"/>
      <c r="F64" s="128"/>
      <c r="G64" s="128"/>
      <c r="H64" s="128"/>
      <c r="I64" s="128"/>
      <c r="J64" s="128"/>
    </row>
    <row r="65" spans="2:10" ht="15.75">
      <c r="B65" s="102"/>
      <c r="C65" s="134" t="s">
        <v>264</v>
      </c>
      <c r="D65" s="128"/>
      <c r="E65" s="128"/>
      <c r="F65" s="128"/>
      <c r="G65" s="128"/>
      <c r="H65" s="128"/>
      <c r="I65" s="128"/>
      <c r="J65" s="128"/>
    </row>
    <row r="66" spans="2:10" ht="15.75">
      <c r="B66" s="102"/>
      <c r="C66" s="134" t="s">
        <v>265</v>
      </c>
      <c r="D66" s="128"/>
      <c r="E66" s="128"/>
      <c r="F66" s="128"/>
      <c r="G66" s="128"/>
      <c r="H66" s="128"/>
      <c r="I66" s="128"/>
      <c r="J66" s="128"/>
    </row>
    <row r="67" spans="2:10" ht="15.75">
      <c r="B67" s="102"/>
      <c r="C67" s="134" t="s">
        <v>266</v>
      </c>
      <c r="D67" s="128"/>
      <c r="E67" s="128"/>
      <c r="F67" s="128"/>
      <c r="G67" s="128"/>
      <c r="H67" s="128"/>
      <c r="I67" s="128"/>
      <c r="J67" s="128"/>
    </row>
    <row r="68" spans="2:10" ht="15.75">
      <c r="B68" s="102"/>
      <c r="C68" s="134" t="s">
        <v>267</v>
      </c>
      <c r="D68" s="128"/>
      <c r="E68" s="128"/>
      <c r="F68" s="128"/>
      <c r="G68" s="128"/>
      <c r="H68" s="128"/>
      <c r="I68" s="128"/>
      <c r="J68" s="128"/>
    </row>
    <row r="69" spans="2:10" ht="15.75">
      <c r="B69" s="102"/>
      <c r="C69" s="134" t="s">
        <v>268</v>
      </c>
      <c r="D69" s="128"/>
      <c r="E69" s="128"/>
      <c r="F69" s="128"/>
      <c r="G69" s="128"/>
      <c r="H69" s="128"/>
      <c r="I69" s="128"/>
      <c r="J69" s="128"/>
    </row>
    <row r="70" spans="2:10" ht="15.75">
      <c r="B70" s="102"/>
      <c r="C70" s="134" t="s">
        <v>233</v>
      </c>
      <c r="D70" s="128"/>
      <c r="E70" s="128"/>
      <c r="F70" s="128"/>
      <c r="G70" s="128"/>
      <c r="H70" s="128"/>
      <c r="I70" s="128"/>
      <c r="J70" s="128"/>
    </row>
    <row r="71" spans="2:10" ht="15.75">
      <c r="B71" s="102"/>
      <c r="C71" s="134" t="s">
        <v>240</v>
      </c>
      <c r="D71" s="128"/>
      <c r="E71" s="128"/>
      <c r="F71" s="128"/>
      <c r="G71" s="128"/>
      <c r="H71" s="128"/>
      <c r="I71" s="128"/>
      <c r="J71" s="128"/>
    </row>
    <row r="72" spans="2:10" ht="15.75">
      <c r="B72" s="102"/>
      <c r="C72" s="134" t="s">
        <v>269</v>
      </c>
      <c r="D72" s="128"/>
      <c r="E72" s="128"/>
      <c r="F72" s="128"/>
      <c r="G72" s="128"/>
      <c r="H72" s="128"/>
      <c r="I72" s="128"/>
      <c r="J72" s="128"/>
    </row>
    <row r="73" spans="2:10" ht="15.75">
      <c r="B73" s="102"/>
      <c r="C73" s="134" t="s">
        <v>270</v>
      </c>
      <c r="D73" s="128"/>
      <c r="E73" s="128"/>
      <c r="F73" s="128"/>
      <c r="G73" s="128"/>
      <c r="H73" s="128"/>
      <c r="I73" s="128"/>
      <c r="J73" s="128"/>
    </row>
    <row r="74" spans="2:10" ht="15.75">
      <c r="B74" s="102"/>
      <c r="C74" s="134" t="s">
        <v>271</v>
      </c>
      <c r="D74" s="128"/>
      <c r="E74" s="128"/>
      <c r="F74" s="128"/>
      <c r="G74" s="128"/>
      <c r="H74" s="128"/>
      <c r="I74" s="128"/>
      <c r="J74" s="128"/>
    </row>
    <row r="75" spans="2:10" ht="15.75">
      <c r="B75" s="102"/>
      <c r="C75" s="134" t="s">
        <v>260</v>
      </c>
      <c r="D75" s="128"/>
      <c r="E75" s="128"/>
      <c r="F75" s="128"/>
      <c r="G75" s="128"/>
      <c r="H75" s="128"/>
      <c r="I75" s="128"/>
      <c r="J75" s="128"/>
    </row>
    <row r="76" spans="2:10" ht="15.75">
      <c r="B76" s="102"/>
      <c r="C76" s="134" t="s">
        <v>277</v>
      </c>
      <c r="D76" s="128"/>
      <c r="E76" s="128"/>
      <c r="F76" s="128"/>
      <c r="G76" s="128"/>
      <c r="H76" s="128"/>
      <c r="I76" s="128"/>
      <c r="J76" s="128"/>
    </row>
    <row r="77" spans="2:10" ht="15.75">
      <c r="B77" s="102"/>
      <c r="C77" s="134"/>
      <c r="D77" s="128"/>
      <c r="E77" s="128"/>
      <c r="F77" s="128"/>
      <c r="G77" s="128"/>
      <c r="H77" s="128"/>
      <c r="I77" s="128"/>
      <c r="J77" s="128"/>
    </row>
    <row r="78" spans="2:10" ht="15.75">
      <c r="B78" s="102"/>
      <c r="C78" s="132" t="s">
        <v>139</v>
      </c>
      <c r="D78" s="128"/>
      <c r="E78" s="128"/>
      <c r="F78" s="128"/>
      <c r="G78" s="128"/>
      <c r="H78" s="128"/>
      <c r="I78" s="128"/>
      <c r="J78" s="128"/>
    </row>
    <row r="79" spans="2:10" ht="15.75">
      <c r="B79" s="102"/>
      <c r="C79" s="128"/>
      <c r="D79" s="128"/>
      <c r="E79" s="128"/>
      <c r="F79" s="128"/>
      <c r="G79" s="128"/>
      <c r="H79" s="128"/>
      <c r="I79" s="128"/>
      <c r="J79" s="128"/>
    </row>
    <row r="80" spans="2:10" ht="15.75">
      <c r="B80" s="102"/>
      <c r="C80" s="134" t="s">
        <v>238</v>
      </c>
      <c r="D80" s="128"/>
      <c r="E80" s="128"/>
      <c r="F80" s="128"/>
      <c r="G80" s="128"/>
      <c r="H80" s="128"/>
      <c r="I80" s="128"/>
      <c r="J80" s="128"/>
    </row>
    <row r="81" spans="2:10" ht="15.75">
      <c r="B81" s="102"/>
      <c r="C81" s="134" t="s">
        <v>234</v>
      </c>
      <c r="D81" s="128"/>
      <c r="E81" s="128"/>
      <c r="F81" s="128"/>
      <c r="G81" s="128"/>
      <c r="H81" s="128"/>
      <c r="I81" s="128"/>
      <c r="J81" s="128"/>
    </row>
    <row r="82" spans="2:10" ht="15.75">
      <c r="B82" s="102"/>
      <c r="C82" s="134" t="s">
        <v>235</v>
      </c>
      <c r="D82" s="128"/>
      <c r="E82" s="128"/>
      <c r="F82" s="128"/>
      <c r="G82" s="128"/>
      <c r="H82" s="128"/>
      <c r="I82" s="128"/>
      <c r="J82" s="128"/>
    </row>
    <row r="83" spans="2:10" ht="15.75">
      <c r="B83" s="102"/>
      <c r="C83" s="134" t="s">
        <v>272</v>
      </c>
      <c r="D83" s="128"/>
      <c r="E83" s="128"/>
      <c r="F83" s="128"/>
      <c r="G83" s="128"/>
      <c r="H83" s="128"/>
      <c r="I83" s="128"/>
      <c r="J83" s="128"/>
    </row>
    <row r="84" spans="2:10" ht="15.75">
      <c r="B84" s="102"/>
      <c r="C84" s="134" t="s">
        <v>236</v>
      </c>
      <c r="D84" s="128"/>
      <c r="E84" s="128"/>
      <c r="F84" s="128"/>
      <c r="G84" s="128"/>
      <c r="H84" s="128"/>
      <c r="I84" s="128"/>
      <c r="J84" s="128"/>
    </row>
    <row r="85" spans="2:10" ht="15.75">
      <c r="B85" s="102"/>
      <c r="C85" s="134" t="s">
        <v>237</v>
      </c>
      <c r="D85" s="128"/>
      <c r="E85" s="128"/>
      <c r="F85" s="128"/>
      <c r="G85" s="128"/>
      <c r="H85" s="128"/>
      <c r="I85" s="128"/>
      <c r="J85" s="128"/>
    </row>
    <row r="86" spans="2:10" ht="15.75">
      <c r="B86" s="102"/>
      <c r="C86" s="134" t="s">
        <v>274</v>
      </c>
      <c r="D86" s="128"/>
      <c r="E86" s="128"/>
      <c r="F86" s="128"/>
      <c r="G86" s="128"/>
      <c r="H86" s="128"/>
      <c r="I86" s="128"/>
      <c r="J86" s="128"/>
    </row>
    <row r="87" spans="2:10" ht="15.75">
      <c r="B87" s="102"/>
      <c r="C87" s="134" t="s">
        <v>273</v>
      </c>
      <c r="D87" s="128"/>
      <c r="E87" s="128"/>
      <c r="F87" s="128"/>
      <c r="G87" s="128"/>
      <c r="H87" s="128"/>
      <c r="I87" s="128"/>
      <c r="J87" s="128"/>
    </row>
    <row r="88" spans="2:10" ht="15.75">
      <c r="B88" s="102"/>
      <c r="C88" s="135"/>
      <c r="D88" s="128"/>
      <c r="E88" s="128"/>
      <c r="F88" s="128"/>
      <c r="G88" s="128"/>
      <c r="H88" s="128"/>
      <c r="I88" s="128"/>
      <c r="J88" s="128"/>
    </row>
    <row r="89" spans="2:10">
      <c r="B89" s="102"/>
      <c r="C89" s="102"/>
      <c r="D89" s="102"/>
      <c r="E89" s="102"/>
      <c r="F89" s="102"/>
      <c r="G89" s="102"/>
      <c r="H89" s="102"/>
      <c r="I89" s="102"/>
      <c r="J89" s="102"/>
    </row>
    <row r="90" spans="2:10" ht="18.75">
      <c r="B90" s="119" t="str">
        <f>CONCATENATE($C$9," ",$D$9)</f>
        <v>2. Praktische Hinweise zum Ausfüllen des Zeiterfassungs-Tools</v>
      </c>
      <c r="C90" s="102"/>
      <c r="D90" s="102"/>
      <c r="E90" s="102"/>
      <c r="F90" s="102"/>
      <c r="G90" s="102"/>
      <c r="H90" s="102"/>
      <c r="I90" s="102"/>
      <c r="J90" s="102"/>
    </row>
    <row r="91" spans="2:10" ht="9" customHeight="1">
      <c r="B91" s="102"/>
      <c r="C91" s="102"/>
      <c r="D91" s="102"/>
      <c r="E91" s="102"/>
      <c r="F91" s="102"/>
      <c r="G91" s="102"/>
      <c r="H91" s="102"/>
      <c r="I91" s="102"/>
      <c r="J91" s="102"/>
    </row>
    <row r="92" spans="2:10">
      <c r="B92" s="102"/>
      <c r="C92" s="102"/>
      <c r="D92" s="102"/>
      <c r="E92" s="102"/>
      <c r="F92" s="102"/>
      <c r="G92" s="102"/>
      <c r="H92" s="102"/>
      <c r="I92" s="102"/>
      <c r="J92" s="102"/>
    </row>
    <row r="93" spans="2:10">
      <c r="B93" s="102"/>
      <c r="C93" s="102"/>
      <c r="D93" s="102"/>
      <c r="E93" s="102"/>
      <c r="F93" s="102"/>
      <c r="G93" s="102"/>
      <c r="H93" s="102"/>
      <c r="I93" s="102"/>
      <c r="J93" s="102"/>
    </row>
    <row r="94" spans="2:10">
      <c r="B94" s="102"/>
      <c r="C94" s="102"/>
      <c r="D94" s="102"/>
      <c r="E94" s="102"/>
      <c r="F94" s="102"/>
      <c r="G94" s="102"/>
      <c r="H94" s="102"/>
      <c r="I94" s="102"/>
      <c r="J94" s="102"/>
    </row>
    <row r="95" spans="2:10">
      <c r="B95" s="102"/>
      <c r="C95" s="102"/>
      <c r="D95" s="102"/>
      <c r="E95" s="102"/>
      <c r="F95" s="102"/>
      <c r="G95" s="102"/>
      <c r="H95" s="102"/>
      <c r="I95" s="102"/>
      <c r="J95" s="102"/>
    </row>
    <row r="96" spans="2:10">
      <c r="B96" s="102"/>
      <c r="C96" s="102"/>
      <c r="D96" s="102"/>
      <c r="E96" s="102"/>
      <c r="F96" s="102"/>
      <c r="G96" s="102"/>
      <c r="H96" s="102"/>
      <c r="I96" s="102"/>
      <c r="J96" s="102"/>
    </row>
    <row r="97" spans="2:10">
      <c r="B97" s="102"/>
      <c r="C97" s="102"/>
      <c r="D97" s="102"/>
      <c r="E97" s="102"/>
      <c r="F97" s="102"/>
      <c r="G97" s="102"/>
      <c r="H97" s="102"/>
      <c r="I97" s="102"/>
      <c r="J97" s="102"/>
    </row>
    <row r="98" spans="2:10">
      <c r="B98" s="102"/>
      <c r="C98" s="102"/>
      <c r="D98" s="102"/>
      <c r="E98" s="102"/>
      <c r="F98" s="102"/>
      <c r="G98" s="102"/>
      <c r="H98" s="102"/>
      <c r="I98" s="102"/>
      <c r="J98" s="102"/>
    </row>
    <row r="99" spans="2:10">
      <c r="B99" s="102"/>
      <c r="C99" s="102"/>
      <c r="D99" s="102"/>
      <c r="E99" s="102"/>
      <c r="F99" s="102"/>
      <c r="G99" s="102"/>
      <c r="H99" s="102"/>
      <c r="I99" s="102"/>
      <c r="J99" s="102"/>
    </row>
    <row r="100" spans="2:10">
      <c r="B100" s="102"/>
      <c r="C100" s="102"/>
      <c r="D100" s="102"/>
      <c r="E100" s="102"/>
      <c r="F100" s="102"/>
      <c r="G100" s="102"/>
      <c r="H100" s="102"/>
      <c r="I100" s="102"/>
      <c r="J100" s="102"/>
    </row>
    <row r="101" spans="2:10">
      <c r="B101" s="102"/>
      <c r="C101" s="102"/>
      <c r="D101" s="102"/>
      <c r="E101" s="102"/>
      <c r="F101" s="102"/>
      <c r="G101" s="102"/>
      <c r="H101" s="102"/>
      <c r="I101" s="102"/>
      <c r="J101" s="102"/>
    </row>
    <row r="102" spans="2:10">
      <c r="B102" s="102"/>
      <c r="C102" s="102"/>
      <c r="D102" s="102"/>
      <c r="E102" s="102"/>
      <c r="F102" s="102"/>
      <c r="G102" s="102"/>
      <c r="H102" s="102"/>
      <c r="I102" s="102"/>
      <c r="J102" s="102"/>
    </row>
    <row r="103" spans="2:10">
      <c r="B103" s="102"/>
      <c r="C103" s="102"/>
      <c r="D103" s="102"/>
      <c r="E103" s="102"/>
      <c r="F103" s="102"/>
      <c r="G103" s="102"/>
      <c r="H103" s="102"/>
      <c r="I103" s="102"/>
      <c r="J103" s="102"/>
    </row>
    <row r="104" spans="2:10">
      <c r="B104" s="102"/>
      <c r="C104" s="102"/>
      <c r="D104" s="102"/>
      <c r="E104" s="102"/>
      <c r="F104" s="102"/>
      <c r="G104" s="102"/>
      <c r="H104" s="102"/>
      <c r="I104" s="102"/>
      <c r="J104" s="102"/>
    </row>
    <row r="105" spans="2:10">
      <c r="B105" s="102"/>
      <c r="C105" s="102"/>
      <c r="D105" s="102"/>
      <c r="E105" s="102"/>
      <c r="F105" s="102"/>
      <c r="G105" s="102"/>
      <c r="H105" s="102"/>
      <c r="I105" s="102"/>
      <c r="J105" s="102"/>
    </row>
    <row r="106" spans="2:10">
      <c r="B106" s="102"/>
      <c r="C106" s="102"/>
      <c r="D106" s="102"/>
      <c r="E106" s="102"/>
      <c r="F106" s="102"/>
      <c r="G106" s="102"/>
      <c r="H106" s="102"/>
      <c r="I106" s="102"/>
      <c r="J106" s="102"/>
    </row>
    <row r="107" spans="2:10">
      <c r="B107" s="102"/>
      <c r="C107" s="102"/>
      <c r="D107" s="102"/>
      <c r="E107" s="102"/>
      <c r="F107" s="102"/>
      <c r="G107" s="102"/>
      <c r="H107" s="102"/>
      <c r="I107" s="102"/>
      <c r="J107" s="102"/>
    </row>
    <row r="108" spans="2:10">
      <c r="B108" s="102"/>
      <c r="C108" s="102"/>
      <c r="D108" s="102"/>
      <c r="E108" s="102"/>
      <c r="F108" s="102"/>
      <c r="G108" s="102"/>
      <c r="H108" s="102"/>
      <c r="I108" s="102"/>
      <c r="J108" s="102"/>
    </row>
    <row r="109" spans="2:10">
      <c r="B109" s="102"/>
      <c r="C109" s="102"/>
      <c r="D109" s="102"/>
      <c r="E109" s="102"/>
      <c r="F109" s="102"/>
      <c r="G109" s="102"/>
      <c r="H109" s="102"/>
      <c r="I109" s="102"/>
      <c r="J109" s="102"/>
    </row>
    <row r="110" spans="2:10">
      <c r="B110" s="102"/>
      <c r="C110" s="102"/>
      <c r="D110" s="102"/>
      <c r="E110" s="102"/>
      <c r="F110" s="102"/>
      <c r="G110" s="102"/>
      <c r="H110" s="102"/>
      <c r="I110" s="102"/>
      <c r="J110" s="102"/>
    </row>
    <row r="111" spans="2:10">
      <c r="B111" s="102"/>
      <c r="C111" s="102"/>
      <c r="D111" s="102"/>
      <c r="E111" s="102"/>
      <c r="F111" s="102"/>
      <c r="G111" s="102"/>
      <c r="H111" s="102"/>
      <c r="I111" s="102"/>
      <c r="J111" s="102"/>
    </row>
    <row r="112" spans="2:10">
      <c r="B112" s="102"/>
      <c r="C112" s="102"/>
      <c r="D112" s="102"/>
      <c r="E112" s="102"/>
      <c r="F112" s="102"/>
      <c r="G112" s="102"/>
      <c r="H112" s="102"/>
      <c r="I112" s="102"/>
      <c r="J112" s="102"/>
    </row>
    <row r="113" spans="2:10">
      <c r="B113" s="102"/>
      <c r="C113" s="102"/>
      <c r="D113" s="102"/>
      <c r="E113" s="102"/>
      <c r="F113" s="102"/>
      <c r="G113" s="102"/>
      <c r="H113" s="102"/>
      <c r="I113" s="102"/>
      <c r="J113" s="102"/>
    </row>
    <row r="114" spans="2:10">
      <c r="B114" s="102"/>
      <c r="C114" s="102"/>
      <c r="D114" s="102"/>
      <c r="E114" s="102"/>
      <c r="F114" s="102"/>
      <c r="G114" s="102"/>
      <c r="H114" s="102"/>
      <c r="I114" s="102"/>
      <c r="J114" s="102"/>
    </row>
    <row r="115" spans="2:10">
      <c r="B115" s="102"/>
      <c r="C115" s="102"/>
      <c r="D115" s="102"/>
      <c r="E115" s="102"/>
      <c r="F115" s="102"/>
      <c r="G115" s="102"/>
      <c r="H115" s="102"/>
      <c r="I115" s="102"/>
      <c r="J115" s="102"/>
    </row>
    <row r="116" spans="2:10">
      <c r="B116" s="102"/>
      <c r="C116" s="102"/>
      <c r="D116" s="102"/>
      <c r="E116" s="102"/>
      <c r="F116" s="102"/>
      <c r="G116" s="102"/>
      <c r="H116" s="102"/>
      <c r="I116" s="102"/>
      <c r="J116" s="102"/>
    </row>
    <row r="117" spans="2:10">
      <c r="B117" s="102"/>
      <c r="C117" s="102"/>
      <c r="D117" s="102"/>
      <c r="E117" s="102"/>
      <c r="F117" s="102"/>
      <c r="G117" s="102"/>
      <c r="H117" s="102"/>
      <c r="I117" s="102"/>
      <c r="J117" s="102"/>
    </row>
    <row r="118" spans="2:10">
      <c r="B118" s="102"/>
      <c r="C118" s="102"/>
      <c r="D118" s="102"/>
      <c r="E118" s="102"/>
      <c r="F118" s="102"/>
      <c r="G118" s="102"/>
      <c r="H118" s="102"/>
      <c r="I118" s="102"/>
      <c r="J118" s="102"/>
    </row>
    <row r="119" spans="2:10">
      <c r="B119" s="102"/>
      <c r="C119" s="102"/>
      <c r="D119" s="102"/>
      <c r="E119" s="102"/>
      <c r="F119" s="102"/>
      <c r="G119" s="102"/>
      <c r="H119" s="102"/>
      <c r="I119" s="102"/>
      <c r="J119" s="102"/>
    </row>
    <row r="120" spans="2:10">
      <c r="B120" s="102"/>
      <c r="C120" s="102"/>
      <c r="D120" s="102"/>
      <c r="E120" s="102"/>
      <c r="F120" s="102"/>
      <c r="G120" s="102"/>
      <c r="H120" s="102"/>
      <c r="I120" s="102"/>
      <c r="J120" s="102"/>
    </row>
    <row r="121" spans="2:10">
      <c r="B121" s="102"/>
      <c r="C121" s="102"/>
      <c r="D121" s="102"/>
      <c r="E121" s="102"/>
      <c r="F121" s="102"/>
      <c r="G121" s="102"/>
      <c r="H121" s="102"/>
      <c r="I121" s="102"/>
      <c r="J121" s="102"/>
    </row>
    <row r="122" spans="2:10">
      <c r="B122" s="102"/>
      <c r="C122" s="102"/>
      <c r="D122" s="102"/>
      <c r="E122" s="102"/>
      <c r="F122" s="102"/>
      <c r="G122" s="102"/>
      <c r="H122" s="102"/>
      <c r="I122" s="102"/>
      <c r="J122" s="102"/>
    </row>
    <row r="123" spans="2:10">
      <c r="B123" s="102"/>
      <c r="C123" s="102"/>
      <c r="D123" s="102"/>
      <c r="E123" s="102"/>
      <c r="F123" s="102"/>
      <c r="G123" s="102"/>
      <c r="H123" s="102"/>
      <c r="I123" s="102"/>
      <c r="J123" s="102"/>
    </row>
    <row r="124" spans="2:10">
      <c r="B124" s="102"/>
      <c r="C124" s="102"/>
      <c r="D124" s="102"/>
      <c r="E124" s="102"/>
      <c r="F124" s="102"/>
      <c r="G124" s="102"/>
      <c r="H124" s="102"/>
      <c r="I124" s="102"/>
      <c r="J124" s="102"/>
    </row>
    <row r="125" spans="2:10">
      <c r="B125" s="102"/>
      <c r="C125" s="102"/>
      <c r="D125" s="102"/>
      <c r="E125" s="102"/>
      <c r="F125" s="102"/>
      <c r="G125" s="102"/>
      <c r="H125" s="102"/>
      <c r="I125" s="102"/>
      <c r="J125" s="102"/>
    </row>
    <row r="126" spans="2:10">
      <c r="B126" s="102"/>
      <c r="C126" s="102"/>
      <c r="D126" s="102"/>
      <c r="E126" s="102"/>
      <c r="F126" s="102"/>
      <c r="G126" s="102"/>
      <c r="H126" s="102"/>
      <c r="I126" s="102"/>
      <c r="J126" s="102"/>
    </row>
    <row r="127" spans="2:10">
      <c r="B127" s="102"/>
      <c r="C127" s="102"/>
      <c r="D127" s="102"/>
      <c r="E127" s="102"/>
      <c r="F127" s="102"/>
      <c r="G127" s="102"/>
      <c r="H127" s="102"/>
      <c r="I127" s="102"/>
      <c r="J127" s="102"/>
    </row>
    <row r="128" spans="2:10">
      <c r="B128" s="102"/>
      <c r="C128" s="102"/>
      <c r="D128" s="102"/>
      <c r="E128" s="102"/>
      <c r="F128" s="102"/>
      <c r="G128" s="102"/>
      <c r="H128" s="102"/>
      <c r="I128" s="102"/>
      <c r="J128" s="102"/>
    </row>
    <row r="129" spans="2:10">
      <c r="B129" s="102"/>
      <c r="C129" s="102"/>
      <c r="D129" s="102"/>
      <c r="E129" s="102"/>
      <c r="F129" s="102"/>
      <c r="G129" s="102"/>
      <c r="H129" s="102"/>
      <c r="I129" s="102"/>
      <c r="J129" s="102"/>
    </row>
    <row r="130" spans="2:10">
      <c r="B130" s="102"/>
      <c r="C130" s="102"/>
      <c r="D130" s="102"/>
      <c r="E130" s="102"/>
      <c r="F130" s="102"/>
      <c r="G130" s="102"/>
      <c r="H130" s="102"/>
      <c r="I130" s="102"/>
      <c r="J130" s="102"/>
    </row>
    <row r="131" spans="2:10">
      <c r="B131" s="102"/>
      <c r="C131" s="102"/>
      <c r="D131" s="102"/>
      <c r="E131" s="102"/>
      <c r="F131" s="102"/>
      <c r="G131" s="102"/>
      <c r="H131" s="102"/>
      <c r="I131" s="102"/>
      <c r="J131" s="102"/>
    </row>
    <row r="132" spans="2:10">
      <c r="B132" s="102"/>
      <c r="C132" s="102"/>
      <c r="D132" s="102"/>
      <c r="E132" s="102"/>
      <c r="F132" s="102"/>
      <c r="G132" s="102"/>
      <c r="H132" s="102"/>
      <c r="I132" s="102"/>
      <c r="J132" s="102"/>
    </row>
    <row r="133" spans="2:10">
      <c r="B133" s="102"/>
      <c r="C133" s="102"/>
      <c r="D133" s="102"/>
      <c r="E133" s="102"/>
      <c r="F133" s="102"/>
      <c r="G133" s="102"/>
      <c r="H133" s="102"/>
      <c r="I133" s="102"/>
      <c r="J133" s="102"/>
    </row>
    <row r="134" spans="2:10">
      <c r="B134" s="102"/>
      <c r="C134" s="102"/>
      <c r="D134" s="102"/>
      <c r="E134" s="102"/>
      <c r="F134" s="102"/>
      <c r="G134" s="102"/>
      <c r="H134" s="102"/>
      <c r="I134" s="102"/>
      <c r="J134" s="102"/>
    </row>
    <row r="135" spans="2:10">
      <c r="B135" s="102"/>
      <c r="C135" s="102"/>
      <c r="D135" s="102"/>
      <c r="E135" s="102"/>
      <c r="F135" s="102"/>
      <c r="G135" s="102"/>
      <c r="H135" s="102"/>
      <c r="I135" s="102"/>
      <c r="J135" s="102"/>
    </row>
    <row r="136" spans="2:10">
      <c r="B136" s="102"/>
      <c r="C136" s="102"/>
      <c r="D136" s="102"/>
      <c r="E136" s="102"/>
      <c r="F136" s="102"/>
      <c r="G136" s="102"/>
      <c r="H136" s="102"/>
      <c r="I136" s="102"/>
      <c r="J136" s="102"/>
    </row>
    <row r="137" spans="2:10">
      <c r="B137" s="102"/>
      <c r="C137" s="102"/>
      <c r="D137" s="102"/>
      <c r="E137" s="102"/>
      <c r="F137" s="102"/>
      <c r="G137" s="102"/>
      <c r="H137" s="102"/>
      <c r="I137" s="102"/>
      <c r="J137" s="102"/>
    </row>
    <row r="138" spans="2:10">
      <c r="B138" s="102"/>
      <c r="C138" s="102"/>
      <c r="D138" s="102"/>
      <c r="E138" s="102"/>
      <c r="F138" s="102"/>
      <c r="G138" s="102"/>
      <c r="H138" s="102"/>
      <c r="I138" s="102"/>
      <c r="J138" s="102"/>
    </row>
    <row r="139" spans="2:10">
      <c r="B139" s="102"/>
      <c r="C139" s="102"/>
      <c r="D139" s="102"/>
      <c r="E139" s="102"/>
      <c r="F139" s="102"/>
      <c r="G139" s="102"/>
      <c r="H139" s="102"/>
      <c r="I139" s="102"/>
      <c r="J139" s="102"/>
    </row>
    <row r="140" spans="2:10" ht="18.75">
      <c r="B140" s="119" t="str">
        <f>CONCATENATE($C$10," ",$D$10)</f>
        <v>3. Kostenlose Version vers. Premiumversion</v>
      </c>
      <c r="C140" s="102"/>
      <c r="D140" s="102"/>
      <c r="E140" s="102"/>
      <c r="F140" s="102"/>
      <c r="G140" s="102"/>
      <c r="H140" s="102"/>
      <c r="I140" s="102"/>
      <c r="J140" s="102"/>
    </row>
    <row r="141" spans="2:10">
      <c r="B141" s="102"/>
      <c r="C141" s="102"/>
      <c r="D141" s="102"/>
      <c r="E141" s="102"/>
      <c r="F141" s="102"/>
      <c r="G141" s="102"/>
      <c r="H141" s="102"/>
      <c r="I141" s="102"/>
      <c r="J141" s="102"/>
    </row>
    <row r="142" spans="2:10" ht="15.75">
      <c r="B142" s="102"/>
      <c r="C142" s="130" t="s">
        <v>114</v>
      </c>
      <c r="D142" s="128"/>
      <c r="E142" s="128"/>
      <c r="F142" s="128"/>
      <c r="G142" s="128"/>
      <c r="H142" s="128"/>
      <c r="I142" s="128"/>
      <c r="J142" s="128"/>
    </row>
    <row r="143" spans="2:10" ht="9" customHeight="1">
      <c r="B143" s="102"/>
      <c r="C143" s="128"/>
      <c r="D143" s="128"/>
      <c r="E143" s="128"/>
      <c r="F143" s="128"/>
      <c r="G143" s="128"/>
      <c r="H143" s="128"/>
      <c r="I143" s="128"/>
      <c r="J143" s="128"/>
    </row>
    <row r="144" spans="2:10" ht="15.75">
      <c r="B144" s="102"/>
      <c r="C144" s="134" t="s">
        <v>140</v>
      </c>
      <c r="D144" s="128"/>
      <c r="E144" s="128"/>
      <c r="F144" s="128"/>
      <c r="G144" s="128"/>
      <c r="H144" s="128"/>
      <c r="I144" s="128"/>
      <c r="J144" s="128"/>
    </row>
    <row r="145" spans="2:10" ht="15.75">
      <c r="B145" s="102"/>
      <c r="C145" s="134" t="s">
        <v>100</v>
      </c>
      <c r="D145" s="128"/>
      <c r="E145" s="128"/>
      <c r="F145" s="128"/>
      <c r="G145" s="128"/>
      <c r="H145" s="128"/>
      <c r="I145" s="128"/>
      <c r="J145" s="128"/>
    </row>
    <row r="146" spans="2:10" ht="15.75">
      <c r="B146" s="102"/>
      <c r="C146" s="134" t="s">
        <v>101</v>
      </c>
      <c r="D146" s="128"/>
      <c r="E146" s="128"/>
      <c r="F146" s="128"/>
      <c r="G146" s="128"/>
      <c r="H146" s="128"/>
      <c r="I146" s="128"/>
      <c r="J146" s="128"/>
    </row>
    <row r="147" spans="2:10" ht="15.75">
      <c r="B147" s="102"/>
      <c r="C147" s="134" t="s">
        <v>102</v>
      </c>
      <c r="D147" s="128"/>
      <c r="E147" s="128"/>
      <c r="F147" s="128"/>
      <c r="G147" s="128"/>
      <c r="H147" s="128"/>
      <c r="I147" s="128"/>
      <c r="J147" s="128"/>
    </row>
    <row r="148" spans="2:10" ht="15.75">
      <c r="B148" s="102"/>
      <c r="C148" s="128"/>
      <c r="D148" s="136" t="s">
        <v>103</v>
      </c>
      <c r="E148" s="102"/>
      <c r="F148" s="102"/>
      <c r="G148" s="102"/>
      <c r="H148" s="102"/>
      <c r="I148" s="102"/>
      <c r="J148" s="102"/>
    </row>
    <row r="149" spans="2:10" ht="15.75">
      <c r="B149" s="102"/>
      <c r="C149" s="134" t="s">
        <v>241</v>
      </c>
      <c r="D149" s="128"/>
      <c r="E149" s="128"/>
      <c r="F149" s="128"/>
      <c r="G149" s="128"/>
      <c r="H149" s="128"/>
      <c r="I149" s="128"/>
      <c r="J149" s="128"/>
    </row>
    <row r="150" spans="2:10" ht="15.75">
      <c r="B150" s="102"/>
      <c r="C150" s="134" t="s">
        <v>104</v>
      </c>
      <c r="D150" s="128"/>
      <c r="E150" s="128"/>
      <c r="F150" s="128"/>
      <c r="G150" s="128"/>
      <c r="H150" s="128"/>
      <c r="I150" s="128"/>
      <c r="J150" s="128"/>
    </row>
    <row r="151" spans="2:10" ht="15.75">
      <c r="B151" s="102"/>
      <c r="C151" s="135"/>
      <c r="D151" s="137" t="s">
        <v>105</v>
      </c>
      <c r="E151" s="128"/>
      <c r="F151" s="128"/>
      <c r="G151" s="128"/>
      <c r="H151" s="128"/>
      <c r="I151" s="128"/>
      <c r="J151" s="128"/>
    </row>
    <row r="152" spans="2:10" ht="15.75">
      <c r="B152" s="102"/>
      <c r="C152" s="134" t="s">
        <v>106</v>
      </c>
      <c r="D152" s="128"/>
      <c r="E152" s="128"/>
      <c r="F152" s="128"/>
      <c r="G152" s="128"/>
      <c r="H152" s="128"/>
      <c r="I152" s="128"/>
      <c r="J152" s="128"/>
    </row>
    <row r="153" spans="2:10" ht="15.75">
      <c r="B153" s="102"/>
      <c r="C153" s="134"/>
      <c r="D153" s="134"/>
      <c r="E153" s="128"/>
      <c r="F153" s="128"/>
      <c r="G153" s="128"/>
      <c r="H153" s="128"/>
      <c r="I153" s="128"/>
      <c r="J153" s="128"/>
    </row>
    <row r="154" spans="2:10" ht="15.75">
      <c r="B154" s="102"/>
      <c r="C154" s="130" t="s">
        <v>279</v>
      </c>
      <c r="D154" s="128"/>
      <c r="E154" s="128"/>
      <c r="F154" s="128"/>
      <c r="G154" s="128"/>
      <c r="H154" s="128"/>
      <c r="I154" s="128"/>
      <c r="J154" s="128"/>
    </row>
    <row r="155" spans="2:10" ht="9" customHeight="1">
      <c r="B155" s="102"/>
      <c r="C155" s="128"/>
      <c r="D155" s="128"/>
      <c r="E155" s="128"/>
      <c r="F155" s="128"/>
      <c r="G155" s="128"/>
      <c r="H155" s="128"/>
      <c r="I155" s="128"/>
      <c r="J155" s="128"/>
    </row>
    <row r="156" spans="2:10" ht="15.75">
      <c r="B156" s="102"/>
      <c r="C156" s="134" t="s">
        <v>282</v>
      </c>
      <c r="D156" s="128"/>
      <c r="E156" s="128"/>
      <c r="F156" s="128"/>
      <c r="G156" s="128"/>
      <c r="H156" s="128"/>
      <c r="I156" s="128"/>
      <c r="J156" s="128"/>
    </row>
    <row r="157" spans="2:10" ht="15.75">
      <c r="B157" s="102"/>
      <c r="C157" s="138" t="s">
        <v>85</v>
      </c>
      <c r="D157" s="174" t="s">
        <v>280</v>
      </c>
      <c r="E157" s="128"/>
      <c r="F157" s="128"/>
      <c r="G157" s="128"/>
      <c r="H157" s="128"/>
      <c r="I157" s="128"/>
      <c r="J157" s="128"/>
    </row>
    <row r="158" spans="2:10" s="126" customFormat="1" ht="15.75">
      <c r="B158" s="139"/>
      <c r="C158" s="138" t="s">
        <v>86</v>
      </c>
      <c r="D158" s="134" t="s">
        <v>281</v>
      </c>
      <c r="E158" s="134"/>
      <c r="F158" s="134"/>
      <c r="G158" s="134"/>
      <c r="H158" s="134"/>
      <c r="I158" s="134"/>
      <c r="J158" s="134"/>
    </row>
    <row r="159" spans="2:10" s="126" customFormat="1" ht="15.75">
      <c r="B159" s="139"/>
      <c r="C159" s="138" t="s">
        <v>87</v>
      </c>
      <c r="D159" s="134" t="s">
        <v>109</v>
      </c>
      <c r="E159" s="134"/>
      <c r="F159" s="134"/>
      <c r="G159" s="134"/>
      <c r="H159" s="134"/>
      <c r="I159" s="134"/>
      <c r="J159" s="134"/>
    </row>
    <row r="160" spans="2:10" ht="15.75">
      <c r="B160" s="102"/>
      <c r="C160" s="128"/>
      <c r="D160" s="128"/>
      <c r="E160" s="128"/>
      <c r="F160" s="128"/>
      <c r="G160" s="128"/>
      <c r="H160" s="128"/>
      <c r="I160" s="128"/>
      <c r="J160" s="128"/>
    </row>
    <row r="161" spans="2:10" ht="15.75">
      <c r="B161" s="102"/>
      <c r="C161" s="130" t="s">
        <v>115</v>
      </c>
      <c r="D161" s="128"/>
      <c r="E161" s="128"/>
      <c r="F161" s="128"/>
      <c r="G161" s="128"/>
      <c r="H161" s="128"/>
      <c r="I161" s="128"/>
      <c r="J161" s="128"/>
    </row>
    <row r="162" spans="2:10" ht="8.25" customHeight="1">
      <c r="B162" s="102"/>
      <c r="C162" s="128"/>
      <c r="D162" s="128"/>
      <c r="E162" s="128"/>
      <c r="F162" s="128"/>
      <c r="G162" s="128"/>
      <c r="H162" s="128"/>
      <c r="I162" s="128"/>
      <c r="J162" s="128"/>
    </row>
    <row r="163" spans="2:10" ht="15.75">
      <c r="B163" s="102"/>
      <c r="C163" s="134" t="s">
        <v>107</v>
      </c>
      <c r="D163" s="128"/>
      <c r="E163" s="128"/>
      <c r="F163" s="128"/>
      <c r="G163" s="128"/>
      <c r="H163" s="128"/>
      <c r="I163" s="128"/>
      <c r="J163" s="128"/>
    </row>
    <row r="164" spans="2:10" ht="15.75">
      <c r="B164" s="102"/>
      <c r="C164" s="134" t="s">
        <v>141</v>
      </c>
      <c r="D164" s="128"/>
      <c r="E164" s="128"/>
      <c r="F164" s="128"/>
      <c r="G164" s="128"/>
      <c r="H164" s="128"/>
      <c r="I164" s="128"/>
      <c r="J164" s="128"/>
    </row>
    <row r="165" spans="2:10" ht="15.75">
      <c r="B165" s="102"/>
      <c r="C165" s="134" t="s">
        <v>244</v>
      </c>
      <c r="D165" s="134"/>
      <c r="E165" s="128"/>
      <c r="F165" s="128"/>
      <c r="G165" s="128"/>
      <c r="H165" s="128"/>
      <c r="I165" s="128"/>
      <c r="J165" s="128"/>
    </row>
    <row r="166" spans="2:10" ht="15.75">
      <c r="B166" s="102"/>
      <c r="C166" s="134" t="s">
        <v>275</v>
      </c>
      <c r="D166" s="134"/>
      <c r="E166" s="128"/>
      <c r="F166" s="128"/>
      <c r="G166" s="128"/>
      <c r="H166" s="128"/>
      <c r="I166" s="128"/>
      <c r="J166" s="128"/>
    </row>
    <row r="167" spans="2:10" ht="15.75">
      <c r="B167" s="102"/>
      <c r="C167" s="134" t="s">
        <v>243</v>
      </c>
      <c r="D167" s="134"/>
      <c r="E167" s="128"/>
      <c r="F167" s="128"/>
      <c r="G167" s="128"/>
      <c r="H167" s="128"/>
      <c r="I167" s="128"/>
      <c r="J167" s="128"/>
    </row>
    <row r="168" spans="2:10" ht="15.75">
      <c r="B168" s="102"/>
      <c r="C168" s="134" t="s">
        <v>245</v>
      </c>
      <c r="D168" s="134"/>
      <c r="E168" s="128"/>
      <c r="F168" s="128"/>
      <c r="G168" s="128"/>
      <c r="H168" s="128"/>
      <c r="I168" s="128"/>
      <c r="J168" s="128"/>
    </row>
    <row r="169" spans="2:10" ht="15.75">
      <c r="B169" s="102"/>
      <c r="C169" s="134" t="s">
        <v>246</v>
      </c>
      <c r="D169" s="134"/>
      <c r="E169" s="128"/>
      <c r="F169" s="128"/>
      <c r="G169" s="128"/>
      <c r="H169" s="128"/>
      <c r="I169" s="128"/>
      <c r="J169" s="128"/>
    </row>
    <row r="170" spans="2:10" ht="15.75">
      <c r="B170" s="102"/>
      <c r="C170" s="134" t="s">
        <v>247</v>
      </c>
      <c r="D170" s="134"/>
      <c r="E170" s="128"/>
      <c r="F170" s="128"/>
      <c r="G170" s="128"/>
      <c r="H170" s="128"/>
      <c r="I170" s="128"/>
      <c r="J170" s="128"/>
    </row>
    <row r="171" spans="2:10" ht="15.75">
      <c r="B171" s="102"/>
      <c r="C171" s="134" t="s">
        <v>248</v>
      </c>
      <c r="D171" s="134"/>
      <c r="E171" s="128"/>
      <c r="F171" s="128"/>
      <c r="G171" s="128"/>
      <c r="H171" s="128"/>
      <c r="I171" s="128"/>
      <c r="J171" s="128"/>
    </row>
    <row r="172" spans="2:10" ht="15.75">
      <c r="B172" s="102"/>
      <c r="C172" s="134" t="s">
        <v>116</v>
      </c>
      <c r="D172" s="134"/>
      <c r="E172" s="128"/>
      <c r="F172" s="128"/>
      <c r="G172" s="128"/>
      <c r="H172" s="128"/>
      <c r="I172" s="128"/>
      <c r="J172" s="128"/>
    </row>
    <row r="173" spans="2:10" ht="15.75">
      <c r="B173" s="102"/>
      <c r="C173" s="134" t="s">
        <v>242</v>
      </c>
      <c r="D173" s="134"/>
      <c r="E173" s="128"/>
      <c r="F173" s="128"/>
      <c r="G173" s="128"/>
      <c r="H173" s="128"/>
      <c r="I173" s="128"/>
      <c r="J173" s="128"/>
    </row>
    <row r="174" spans="2:10" ht="15.75">
      <c r="B174" s="102"/>
      <c r="C174" s="134"/>
      <c r="D174" s="134"/>
      <c r="E174" s="128"/>
      <c r="F174" s="128"/>
      <c r="G174" s="128"/>
      <c r="H174" s="128"/>
      <c r="I174" s="128"/>
      <c r="J174" s="128"/>
    </row>
    <row r="175" spans="2:10" ht="15.75">
      <c r="B175" s="102"/>
      <c r="C175" s="134" t="s">
        <v>249</v>
      </c>
      <c r="D175" s="128"/>
      <c r="E175" s="128"/>
      <c r="F175" s="128"/>
      <c r="G175" s="128"/>
      <c r="H175" s="128"/>
      <c r="I175" s="128"/>
      <c r="J175" s="128"/>
    </row>
    <row r="176" spans="2:10" ht="15.75">
      <c r="B176" s="102"/>
      <c r="C176" s="138" t="s">
        <v>85</v>
      </c>
      <c r="D176" s="174" t="s">
        <v>278</v>
      </c>
      <c r="E176" s="128"/>
      <c r="F176" s="128"/>
      <c r="G176" s="128"/>
      <c r="H176" s="128"/>
      <c r="I176" s="128"/>
      <c r="J176" s="128"/>
    </row>
    <row r="177" spans="2:10" s="126" customFormat="1" ht="15.75">
      <c r="B177" s="139"/>
      <c r="C177" s="138" t="s">
        <v>86</v>
      </c>
      <c r="D177" s="134" t="s">
        <v>108</v>
      </c>
      <c r="E177" s="134"/>
      <c r="F177" s="134"/>
      <c r="G177" s="134"/>
      <c r="H177" s="134"/>
      <c r="I177" s="134"/>
      <c r="J177" s="134"/>
    </row>
    <row r="178" spans="2:10" s="126" customFormat="1" ht="15.75">
      <c r="B178" s="139"/>
      <c r="C178" s="138" t="s">
        <v>87</v>
      </c>
      <c r="D178" s="134" t="s">
        <v>109</v>
      </c>
      <c r="E178" s="134"/>
      <c r="F178" s="134"/>
      <c r="G178" s="134"/>
      <c r="H178" s="134"/>
      <c r="I178" s="134"/>
      <c r="J178" s="134"/>
    </row>
    <row r="179" spans="2:10" ht="15.75">
      <c r="B179" s="102"/>
      <c r="C179" s="140"/>
      <c r="D179" s="128"/>
      <c r="E179" s="128"/>
      <c r="F179" s="128"/>
      <c r="G179" s="128"/>
      <c r="H179" s="128"/>
      <c r="I179" s="128"/>
      <c r="J179" s="128"/>
    </row>
    <row r="180" spans="2:10" ht="15.75">
      <c r="B180" s="102"/>
      <c r="C180" s="141" t="s">
        <v>110</v>
      </c>
      <c r="D180" s="128"/>
      <c r="E180" s="128"/>
      <c r="F180" s="128"/>
      <c r="G180" s="128"/>
      <c r="H180" s="128"/>
      <c r="I180" s="128"/>
      <c r="J180" s="128"/>
    </row>
    <row r="181" spans="2:10" ht="15.75">
      <c r="B181" s="102"/>
      <c r="C181" s="141" t="s">
        <v>142</v>
      </c>
      <c r="D181" s="128"/>
      <c r="E181" s="128"/>
      <c r="F181" s="128"/>
      <c r="G181" s="128"/>
      <c r="H181" s="128"/>
      <c r="I181" s="128"/>
      <c r="J181" s="128"/>
    </row>
    <row r="182" spans="2:10" ht="15.75">
      <c r="B182" s="102"/>
      <c r="C182" s="141" t="s">
        <v>111</v>
      </c>
      <c r="D182" s="128"/>
      <c r="E182" s="128"/>
      <c r="F182" s="128"/>
      <c r="G182" s="128"/>
      <c r="H182" s="128"/>
      <c r="I182" s="128"/>
      <c r="J182" s="128"/>
    </row>
    <row r="183" spans="2:10" ht="15.75">
      <c r="B183" s="102"/>
      <c r="C183" s="130" t="s">
        <v>276</v>
      </c>
      <c r="D183" s="102"/>
      <c r="E183" s="102"/>
      <c r="F183" s="102"/>
      <c r="G183" s="102"/>
      <c r="H183" s="102"/>
      <c r="I183" s="102"/>
      <c r="J183" s="102"/>
    </row>
    <row r="184" spans="2:10">
      <c r="B184" s="102"/>
      <c r="C184" s="102"/>
      <c r="D184" s="102"/>
      <c r="E184" s="102"/>
      <c r="F184" s="102"/>
      <c r="G184" s="102"/>
      <c r="H184" s="102"/>
      <c r="I184" s="102"/>
      <c r="J184" s="102"/>
    </row>
    <row r="185" spans="2:10">
      <c r="B185" s="102"/>
      <c r="C185" s="102"/>
      <c r="D185" s="102"/>
      <c r="E185" s="102"/>
      <c r="F185" s="102"/>
      <c r="G185" s="102"/>
      <c r="H185" s="102"/>
      <c r="I185" s="102"/>
      <c r="J185" s="102"/>
    </row>
    <row r="186" spans="2:10" ht="18.75">
      <c r="B186" s="119" t="str">
        <f>CONCATENATE($C$11," ",$D$11)</f>
        <v>4. Betriebswirtschaftliche und gesetzliche Betrachtungen zur Arbeitszeiterfassung</v>
      </c>
      <c r="C186" s="102"/>
      <c r="D186" s="102"/>
      <c r="E186" s="102"/>
      <c r="F186" s="102"/>
      <c r="G186" s="102"/>
      <c r="H186" s="102"/>
      <c r="I186" s="102"/>
      <c r="J186" s="102"/>
    </row>
    <row r="187" spans="2:10" ht="9" customHeight="1">
      <c r="B187" s="102"/>
      <c r="C187" s="102"/>
      <c r="D187" s="102"/>
      <c r="E187" s="102"/>
      <c r="F187" s="102"/>
      <c r="G187" s="102"/>
      <c r="H187" s="102"/>
      <c r="I187" s="102"/>
      <c r="J187" s="102"/>
    </row>
    <row r="188" spans="2:10">
      <c r="B188" s="102"/>
      <c r="C188" s="102"/>
      <c r="D188" s="102"/>
      <c r="E188" s="102"/>
      <c r="F188" s="102"/>
      <c r="G188" s="102"/>
      <c r="H188" s="102"/>
      <c r="I188" s="102"/>
      <c r="J188" s="102"/>
    </row>
    <row r="189" spans="2:10">
      <c r="B189" s="102"/>
      <c r="C189" s="102"/>
      <c r="D189" s="102"/>
      <c r="E189" s="102"/>
      <c r="F189" s="102"/>
      <c r="G189" s="102"/>
      <c r="H189" s="102"/>
      <c r="I189" s="102"/>
      <c r="J189" s="102"/>
    </row>
    <row r="190" spans="2:10">
      <c r="B190" s="102"/>
      <c r="C190" s="102"/>
      <c r="D190" s="102"/>
      <c r="E190" s="102"/>
      <c r="F190" s="102"/>
      <c r="G190" s="102"/>
      <c r="H190" s="102"/>
      <c r="I190" s="102"/>
      <c r="J190" s="102"/>
    </row>
    <row r="191" spans="2:10">
      <c r="B191" s="102"/>
      <c r="C191" s="102"/>
      <c r="D191" s="102"/>
      <c r="E191" s="102"/>
      <c r="F191" s="102"/>
      <c r="G191" s="102"/>
      <c r="H191" s="102"/>
      <c r="I191" s="102"/>
      <c r="J191" s="102"/>
    </row>
    <row r="192" spans="2:10">
      <c r="B192" s="102"/>
      <c r="C192" s="102"/>
      <c r="D192" s="102"/>
      <c r="E192" s="102"/>
      <c r="F192" s="102"/>
      <c r="G192" s="102"/>
      <c r="H192" s="102"/>
      <c r="I192" s="102"/>
      <c r="J192" s="102"/>
    </row>
    <row r="193" spans="2:10">
      <c r="B193" s="102"/>
      <c r="C193" s="102"/>
      <c r="D193" s="102"/>
      <c r="E193" s="102"/>
      <c r="F193" s="102"/>
      <c r="G193" s="102"/>
      <c r="H193" s="102"/>
      <c r="I193" s="102"/>
      <c r="J193" s="102"/>
    </row>
    <row r="194" spans="2:10">
      <c r="B194" s="102"/>
      <c r="C194" s="102"/>
      <c r="D194" s="102"/>
      <c r="E194" s="102"/>
      <c r="F194" s="102"/>
      <c r="G194" s="102"/>
      <c r="H194" s="102"/>
      <c r="I194" s="102"/>
      <c r="J194" s="102"/>
    </row>
    <row r="195" spans="2:10">
      <c r="B195" s="102"/>
      <c r="C195" s="102"/>
      <c r="D195" s="102"/>
      <c r="E195" s="102"/>
      <c r="F195" s="102"/>
      <c r="G195" s="102"/>
      <c r="H195" s="102"/>
      <c r="I195" s="102"/>
      <c r="J195" s="102"/>
    </row>
    <row r="196" spans="2:10">
      <c r="B196" s="102"/>
      <c r="C196" s="102"/>
      <c r="D196" s="102"/>
      <c r="E196" s="102"/>
      <c r="F196" s="102"/>
      <c r="G196" s="102"/>
      <c r="H196" s="102"/>
      <c r="I196" s="102"/>
      <c r="J196" s="102"/>
    </row>
    <row r="197" spans="2:10">
      <c r="B197" s="102"/>
      <c r="C197" s="102"/>
      <c r="D197" s="102"/>
      <c r="E197" s="102"/>
      <c r="F197" s="102"/>
      <c r="G197" s="102"/>
      <c r="H197" s="102"/>
      <c r="I197" s="102"/>
      <c r="J197" s="102"/>
    </row>
    <row r="198" spans="2:10">
      <c r="B198" s="102"/>
      <c r="C198" s="102"/>
      <c r="D198" s="102"/>
      <c r="E198" s="102"/>
      <c r="F198" s="102"/>
      <c r="G198" s="102"/>
      <c r="H198" s="102"/>
      <c r="I198" s="102"/>
      <c r="J198" s="102"/>
    </row>
    <row r="199" spans="2:10">
      <c r="B199" s="102"/>
      <c r="C199" s="102"/>
      <c r="D199" s="102"/>
      <c r="E199" s="102"/>
      <c r="F199" s="102"/>
      <c r="G199" s="102"/>
      <c r="H199" s="102"/>
      <c r="I199" s="102"/>
      <c r="J199" s="102"/>
    </row>
    <row r="200" spans="2:10">
      <c r="B200" s="102"/>
      <c r="C200" s="102"/>
      <c r="D200" s="102"/>
      <c r="E200" s="102"/>
      <c r="F200" s="102"/>
      <c r="G200" s="102"/>
      <c r="H200" s="102"/>
      <c r="I200" s="102"/>
      <c r="J200" s="102"/>
    </row>
    <row r="201" spans="2:10">
      <c r="B201" s="102"/>
      <c r="C201" s="102"/>
      <c r="D201" s="102"/>
      <c r="E201" s="102"/>
      <c r="F201" s="102"/>
      <c r="G201" s="102"/>
      <c r="H201" s="102"/>
      <c r="I201" s="102"/>
      <c r="J201" s="102"/>
    </row>
    <row r="202" spans="2:10">
      <c r="B202" s="102"/>
      <c r="C202" s="102"/>
      <c r="D202" s="102"/>
      <c r="E202" s="102"/>
      <c r="F202" s="102"/>
      <c r="G202" s="102"/>
      <c r="H202" s="102"/>
      <c r="I202" s="102"/>
      <c r="J202" s="102"/>
    </row>
    <row r="203" spans="2:10">
      <c r="B203" s="102"/>
      <c r="C203" s="102"/>
      <c r="D203" s="102"/>
      <c r="E203" s="102"/>
      <c r="F203" s="102"/>
      <c r="G203" s="102"/>
      <c r="H203" s="102"/>
      <c r="I203" s="102"/>
      <c r="J203" s="102"/>
    </row>
    <row r="204" spans="2:10">
      <c r="B204" s="102"/>
      <c r="C204" s="102"/>
      <c r="D204" s="102"/>
      <c r="E204" s="102"/>
      <c r="F204" s="102"/>
      <c r="G204" s="102"/>
      <c r="H204" s="102"/>
      <c r="I204" s="102"/>
      <c r="J204" s="102"/>
    </row>
    <row r="205" spans="2:10">
      <c r="B205" s="102"/>
      <c r="C205" s="102"/>
      <c r="D205" s="102"/>
      <c r="E205" s="102"/>
      <c r="F205" s="102"/>
      <c r="G205" s="102"/>
      <c r="H205" s="102"/>
      <c r="I205" s="102"/>
      <c r="J205" s="102"/>
    </row>
    <row r="206" spans="2:10">
      <c r="B206" s="102"/>
      <c r="C206" s="102"/>
      <c r="D206" s="102"/>
      <c r="E206" s="102"/>
      <c r="F206" s="102"/>
      <c r="G206" s="102"/>
      <c r="H206" s="102"/>
      <c r="I206" s="102"/>
      <c r="J206" s="102"/>
    </row>
    <row r="207" spans="2:10">
      <c r="B207" s="102"/>
      <c r="C207" s="102"/>
      <c r="D207" s="102"/>
      <c r="E207" s="102"/>
      <c r="F207" s="102"/>
      <c r="G207" s="102"/>
      <c r="H207" s="102"/>
      <c r="I207" s="102"/>
      <c r="J207" s="102"/>
    </row>
    <row r="208" spans="2:10">
      <c r="B208" s="102"/>
      <c r="C208" s="102"/>
      <c r="D208" s="102"/>
      <c r="E208" s="102"/>
      <c r="F208" s="102"/>
      <c r="G208" s="102"/>
      <c r="H208" s="102"/>
      <c r="I208" s="102"/>
      <c r="J208" s="102"/>
    </row>
    <row r="209" spans="2:10">
      <c r="B209" s="102"/>
      <c r="C209" s="102"/>
      <c r="D209" s="102"/>
      <c r="E209" s="102"/>
      <c r="F209" s="102"/>
      <c r="G209" s="102"/>
      <c r="H209" s="102"/>
      <c r="I209" s="102"/>
      <c r="J209" s="102"/>
    </row>
    <row r="210" spans="2:10">
      <c r="B210" s="102"/>
      <c r="C210" s="102"/>
      <c r="D210" s="102"/>
      <c r="E210" s="102"/>
      <c r="F210" s="102"/>
      <c r="G210" s="102"/>
      <c r="H210" s="102"/>
      <c r="I210" s="102"/>
      <c r="J210" s="102"/>
    </row>
    <row r="211" spans="2:10">
      <c r="B211" s="102"/>
      <c r="C211" s="102"/>
      <c r="D211" s="102"/>
      <c r="E211" s="102"/>
      <c r="F211" s="102"/>
      <c r="G211" s="102"/>
      <c r="H211" s="102"/>
      <c r="I211" s="102"/>
      <c r="J211" s="102"/>
    </row>
    <row r="212" spans="2:10">
      <c r="B212" s="102"/>
      <c r="C212" s="102"/>
      <c r="D212" s="102"/>
      <c r="E212" s="102"/>
      <c r="F212" s="102"/>
      <c r="G212" s="102"/>
      <c r="H212" s="102"/>
      <c r="I212" s="102"/>
      <c r="J212" s="102"/>
    </row>
    <row r="213" spans="2:10">
      <c r="B213" s="102"/>
      <c r="C213" s="102"/>
      <c r="D213" s="102"/>
      <c r="E213" s="102"/>
      <c r="F213" s="102"/>
      <c r="G213" s="102"/>
      <c r="H213" s="102"/>
      <c r="I213" s="102"/>
      <c r="J213" s="102"/>
    </row>
    <row r="214" spans="2:10">
      <c r="B214" s="102"/>
      <c r="C214" s="102"/>
      <c r="D214" s="102"/>
      <c r="E214" s="102"/>
      <c r="F214" s="102"/>
      <c r="G214" s="102"/>
      <c r="H214" s="102"/>
      <c r="I214" s="102"/>
      <c r="J214" s="102"/>
    </row>
    <row r="215" spans="2:10">
      <c r="B215" s="102"/>
      <c r="C215" s="102"/>
      <c r="D215" s="102"/>
      <c r="E215" s="102"/>
      <c r="F215" s="102"/>
      <c r="G215" s="102"/>
      <c r="H215" s="102"/>
      <c r="I215" s="102"/>
      <c r="J215" s="102"/>
    </row>
    <row r="216" spans="2:10">
      <c r="B216" s="102"/>
      <c r="C216" s="102"/>
      <c r="D216" s="102"/>
      <c r="E216" s="102"/>
      <c r="F216" s="102"/>
      <c r="G216" s="102"/>
      <c r="H216" s="102"/>
      <c r="I216" s="102"/>
      <c r="J216" s="102"/>
    </row>
    <row r="217" spans="2:10">
      <c r="B217" s="102"/>
      <c r="C217" s="102"/>
      <c r="D217" s="102"/>
      <c r="E217" s="102"/>
      <c r="F217" s="102"/>
      <c r="G217" s="102"/>
      <c r="H217" s="102"/>
      <c r="I217" s="102"/>
      <c r="J217" s="102"/>
    </row>
    <row r="218" spans="2:10">
      <c r="B218" s="102"/>
      <c r="C218" s="102"/>
      <c r="D218" s="102"/>
      <c r="E218" s="102"/>
      <c r="F218" s="102"/>
      <c r="G218" s="102"/>
      <c r="H218" s="102"/>
      <c r="I218" s="102"/>
      <c r="J218" s="102"/>
    </row>
    <row r="219" spans="2:10">
      <c r="B219" s="102"/>
      <c r="C219" s="102"/>
      <c r="D219" s="102"/>
      <c r="E219" s="102"/>
      <c r="F219" s="102"/>
      <c r="G219" s="102"/>
      <c r="H219" s="102"/>
      <c r="I219" s="102"/>
      <c r="J219" s="102"/>
    </row>
    <row r="220" spans="2:10">
      <c r="B220" s="102"/>
      <c r="C220" s="102"/>
      <c r="D220" s="102"/>
      <c r="E220" s="102"/>
      <c r="F220" s="102"/>
      <c r="G220" s="102"/>
      <c r="H220" s="102"/>
      <c r="I220" s="102"/>
      <c r="J220" s="102"/>
    </row>
    <row r="221" spans="2:10">
      <c r="B221" s="102"/>
      <c r="C221" s="102"/>
      <c r="D221" s="102"/>
      <c r="E221" s="102"/>
      <c r="F221" s="102"/>
      <c r="G221" s="102"/>
      <c r="H221" s="102"/>
      <c r="I221" s="102"/>
      <c r="J221" s="102"/>
    </row>
    <row r="222" spans="2:10">
      <c r="B222" s="102"/>
      <c r="C222" s="102"/>
      <c r="D222" s="102"/>
      <c r="E222" s="102"/>
      <c r="F222" s="102"/>
      <c r="G222" s="102"/>
      <c r="H222" s="102"/>
      <c r="I222" s="102"/>
      <c r="J222" s="102"/>
    </row>
    <row r="223" spans="2:10">
      <c r="B223" s="102"/>
      <c r="C223" s="102"/>
      <c r="D223" s="102"/>
      <c r="E223" s="102"/>
      <c r="F223" s="102"/>
      <c r="G223" s="102"/>
      <c r="H223" s="102"/>
      <c r="I223" s="102"/>
      <c r="J223" s="102"/>
    </row>
    <row r="224" spans="2:10">
      <c r="B224" s="102"/>
      <c r="C224" s="102"/>
      <c r="D224" s="102"/>
      <c r="E224" s="102"/>
      <c r="F224" s="102"/>
      <c r="G224" s="102"/>
      <c r="H224" s="102"/>
      <c r="I224" s="102"/>
      <c r="J224" s="102"/>
    </row>
    <row r="225" spans="2:10">
      <c r="B225" s="102"/>
      <c r="C225" s="102"/>
      <c r="D225" s="102"/>
      <c r="E225" s="102"/>
      <c r="F225" s="102"/>
      <c r="G225" s="102"/>
      <c r="H225" s="102"/>
      <c r="I225" s="102"/>
      <c r="J225" s="102"/>
    </row>
    <row r="226" spans="2:10">
      <c r="B226" s="102"/>
      <c r="C226" s="102"/>
      <c r="D226" s="102"/>
      <c r="E226" s="102"/>
      <c r="F226" s="102"/>
      <c r="G226" s="102"/>
      <c r="H226" s="102"/>
      <c r="I226" s="102"/>
      <c r="J226" s="102"/>
    </row>
    <row r="227" spans="2:10">
      <c r="B227" s="102"/>
      <c r="C227" s="102"/>
      <c r="D227" s="102"/>
      <c r="E227" s="102"/>
      <c r="F227" s="102"/>
      <c r="G227" s="102"/>
      <c r="H227" s="102"/>
      <c r="I227" s="102"/>
      <c r="J227" s="102"/>
    </row>
    <row r="228" spans="2:10">
      <c r="B228" s="102"/>
      <c r="C228" s="102"/>
      <c r="D228" s="102"/>
      <c r="E228" s="102"/>
      <c r="F228" s="102"/>
      <c r="G228" s="102"/>
      <c r="H228" s="102"/>
      <c r="I228" s="102"/>
      <c r="J228" s="102"/>
    </row>
    <row r="229" spans="2:10">
      <c r="B229" s="102"/>
      <c r="C229" s="102"/>
      <c r="D229" s="102"/>
      <c r="E229" s="102"/>
      <c r="F229" s="102"/>
      <c r="G229" s="102"/>
      <c r="H229" s="102"/>
      <c r="I229" s="102"/>
      <c r="J229" s="102"/>
    </row>
    <row r="230" spans="2:10">
      <c r="B230" s="102"/>
      <c r="C230" s="102"/>
      <c r="D230" s="102"/>
      <c r="E230" s="102"/>
      <c r="F230" s="102"/>
      <c r="G230" s="102"/>
      <c r="H230" s="102"/>
      <c r="I230" s="102"/>
      <c r="J230" s="102"/>
    </row>
    <row r="231" spans="2:10">
      <c r="B231" s="102"/>
      <c r="C231" s="102"/>
      <c r="D231" s="102"/>
      <c r="E231" s="102"/>
      <c r="F231" s="102"/>
      <c r="G231" s="102"/>
      <c r="H231" s="102"/>
      <c r="I231" s="102"/>
      <c r="J231" s="102"/>
    </row>
    <row r="232" spans="2:10">
      <c r="B232" s="102"/>
      <c r="C232" s="102"/>
      <c r="D232" s="102"/>
      <c r="E232" s="102"/>
      <c r="F232" s="102"/>
      <c r="G232" s="102"/>
      <c r="H232" s="102"/>
      <c r="I232" s="102"/>
      <c r="J232" s="102"/>
    </row>
    <row r="233" spans="2:10">
      <c r="B233" s="102"/>
      <c r="C233" s="102"/>
      <c r="D233" s="102"/>
      <c r="E233" s="102"/>
      <c r="F233" s="102"/>
      <c r="G233" s="102"/>
      <c r="H233" s="102"/>
      <c r="I233" s="102"/>
      <c r="J233" s="102"/>
    </row>
    <row r="234" spans="2:10">
      <c r="B234" s="102"/>
      <c r="C234" s="102"/>
      <c r="D234" s="102"/>
      <c r="E234" s="102"/>
      <c r="F234" s="102"/>
      <c r="G234" s="102"/>
      <c r="H234" s="102"/>
      <c r="I234" s="102"/>
      <c r="J234" s="102"/>
    </row>
    <row r="235" spans="2:10">
      <c r="B235" s="102"/>
      <c r="C235" s="102"/>
      <c r="D235" s="102"/>
      <c r="E235" s="102"/>
      <c r="F235" s="102"/>
      <c r="G235" s="102"/>
      <c r="H235" s="102"/>
      <c r="I235" s="102"/>
      <c r="J235" s="102"/>
    </row>
    <row r="236" spans="2:10">
      <c r="B236" s="102"/>
      <c r="C236" s="102"/>
      <c r="D236" s="102"/>
      <c r="E236" s="102"/>
      <c r="F236" s="102"/>
      <c r="G236" s="102"/>
      <c r="H236" s="102"/>
      <c r="I236" s="102"/>
      <c r="J236" s="102"/>
    </row>
    <row r="237" spans="2:10">
      <c r="B237" s="102"/>
      <c r="C237" s="102"/>
      <c r="D237" s="102"/>
      <c r="E237" s="102"/>
      <c r="F237" s="102"/>
      <c r="G237" s="102"/>
      <c r="H237" s="102"/>
      <c r="I237" s="102"/>
      <c r="J237" s="102"/>
    </row>
    <row r="238" spans="2:10">
      <c r="B238" s="102"/>
      <c r="C238" s="102"/>
      <c r="D238" s="102"/>
      <c r="E238" s="102"/>
      <c r="F238" s="102"/>
      <c r="G238" s="102"/>
      <c r="H238" s="102"/>
      <c r="I238" s="102"/>
      <c r="J238" s="102"/>
    </row>
    <row r="239" spans="2:10">
      <c r="B239" s="102"/>
      <c r="C239" s="102"/>
      <c r="D239" s="102"/>
      <c r="E239" s="102"/>
      <c r="F239" s="102"/>
      <c r="G239" s="102"/>
      <c r="H239" s="102"/>
      <c r="I239" s="102"/>
      <c r="J239" s="102"/>
    </row>
    <row r="240" spans="2:10">
      <c r="B240" s="102"/>
      <c r="C240" s="102"/>
      <c r="D240" s="102"/>
      <c r="E240" s="102"/>
      <c r="F240" s="102"/>
      <c r="G240" s="102"/>
      <c r="H240" s="102"/>
      <c r="I240" s="102"/>
      <c r="J240" s="102"/>
    </row>
    <row r="241" spans="2:10">
      <c r="B241" s="102"/>
      <c r="C241" s="102"/>
      <c r="D241" s="102"/>
      <c r="E241" s="102"/>
      <c r="F241" s="102"/>
      <c r="G241" s="102"/>
      <c r="H241" s="102"/>
      <c r="I241" s="102"/>
      <c r="J241" s="102"/>
    </row>
    <row r="242" spans="2:10">
      <c r="B242" s="102"/>
      <c r="C242" s="102"/>
      <c r="D242" s="102"/>
      <c r="E242" s="102"/>
      <c r="F242" s="102"/>
      <c r="G242" s="102"/>
      <c r="H242" s="102"/>
      <c r="I242" s="102"/>
      <c r="J242" s="102"/>
    </row>
    <row r="243" spans="2:10">
      <c r="B243" s="102"/>
      <c r="C243" s="102"/>
      <c r="D243" s="102"/>
      <c r="E243" s="102"/>
      <c r="F243" s="102"/>
      <c r="G243" s="102"/>
      <c r="H243" s="102"/>
      <c r="I243" s="102"/>
      <c r="J243" s="102"/>
    </row>
    <row r="244" spans="2:10">
      <c r="B244" s="102"/>
      <c r="C244" s="102"/>
      <c r="D244" s="102"/>
      <c r="E244" s="102"/>
      <c r="F244" s="102"/>
      <c r="G244" s="102"/>
      <c r="H244" s="102"/>
      <c r="I244" s="102"/>
      <c r="J244" s="102"/>
    </row>
    <row r="245" spans="2:10">
      <c r="B245" s="102"/>
      <c r="C245" s="102"/>
      <c r="D245" s="102"/>
      <c r="E245" s="102"/>
      <c r="F245" s="102"/>
      <c r="G245" s="102"/>
      <c r="H245" s="102"/>
      <c r="I245" s="102"/>
      <c r="J245" s="102"/>
    </row>
    <row r="246" spans="2:10">
      <c r="B246" s="102"/>
      <c r="C246" s="102"/>
      <c r="D246" s="102"/>
      <c r="E246" s="102"/>
      <c r="F246" s="102"/>
      <c r="G246" s="102"/>
      <c r="H246" s="102"/>
      <c r="I246" s="102"/>
      <c r="J246" s="102"/>
    </row>
    <row r="247" spans="2:10">
      <c r="B247" s="102"/>
      <c r="C247" s="102"/>
      <c r="D247" s="102"/>
      <c r="E247" s="102"/>
      <c r="F247" s="102"/>
      <c r="G247" s="102"/>
      <c r="H247" s="102"/>
      <c r="I247" s="102"/>
      <c r="J247" s="102"/>
    </row>
    <row r="248" spans="2:10">
      <c r="B248" s="102"/>
      <c r="C248" s="102"/>
      <c r="D248" s="102"/>
      <c r="E248" s="102"/>
      <c r="F248" s="102"/>
      <c r="G248" s="102"/>
      <c r="H248" s="102"/>
      <c r="I248" s="102"/>
      <c r="J248" s="102"/>
    </row>
    <row r="249" spans="2:10">
      <c r="B249" s="102"/>
      <c r="C249" s="102"/>
      <c r="D249" s="102"/>
      <c r="E249" s="102"/>
      <c r="F249" s="102"/>
      <c r="G249" s="102"/>
      <c r="H249" s="102"/>
      <c r="I249" s="102"/>
      <c r="J249" s="102"/>
    </row>
    <row r="250" spans="2:10">
      <c r="B250" s="102"/>
      <c r="C250" s="102"/>
      <c r="D250" s="102"/>
      <c r="E250" s="102"/>
      <c r="F250" s="102"/>
      <c r="G250" s="102"/>
      <c r="H250" s="102"/>
      <c r="I250" s="102"/>
      <c r="J250" s="102"/>
    </row>
    <row r="251" spans="2:10">
      <c r="B251" s="102"/>
      <c r="C251" s="102"/>
      <c r="D251" s="102"/>
      <c r="E251" s="102"/>
      <c r="F251" s="102"/>
      <c r="G251" s="102"/>
      <c r="H251" s="102"/>
      <c r="I251" s="102"/>
      <c r="J251" s="102"/>
    </row>
    <row r="252" spans="2:10">
      <c r="B252" s="102"/>
      <c r="C252" s="102"/>
      <c r="D252" s="102"/>
      <c r="E252" s="102"/>
      <c r="F252" s="102"/>
      <c r="G252" s="102"/>
      <c r="H252" s="102"/>
      <c r="I252" s="102"/>
      <c r="J252" s="102"/>
    </row>
    <row r="253" spans="2:10">
      <c r="B253" s="102"/>
      <c r="C253" s="102"/>
      <c r="D253" s="102"/>
      <c r="E253" s="102"/>
      <c r="F253" s="102"/>
      <c r="G253" s="102"/>
      <c r="H253" s="102"/>
      <c r="I253" s="102"/>
      <c r="J253" s="102"/>
    </row>
    <row r="254" spans="2:10">
      <c r="B254" s="102"/>
      <c r="C254" s="102"/>
      <c r="D254" s="102"/>
      <c r="E254" s="102"/>
      <c r="F254" s="102"/>
      <c r="G254" s="102"/>
      <c r="H254" s="102"/>
      <c r="I254" s="102"/>
      <c r="J254" s="102"/>
    </row>
    <row r="255" spans="2:10">
      <c r="B255" s="102"/>
      <c r="C255" s="102"/>
      <c r="D255" s="102"/>
      <c r="E255" s="102"/>
      <c r="F255" s="102"/>
      <c r="G255" s="102"/>
      <c r="H255" s="102"/>
      <c r="I255" s="102"/>
      <c r="J255" s="102"/>
    </row>
    <row r="256" spans="2:10">
      <c r="B256" s="102"/>
      <c r="C256" s="102"/>
      <c r="D256" s="102"/>
      <c r="E256" s="102"/>
      <c r="F256" s="102"/>
      <c r="G256" s="102"/>
      <c r="H256" s="102"/>
      <c r="I256" s="102"/>
      <c r="J256" s="102"/>
    </row>
    <row r="257" spans="2:10">
      <c r="B257" s="102"/>
      <c r="C257" s="102"/>
      <c r="D257" s="102"/>
      <c r="E257" s="102"/>
      <c r="F257" s="102"/>
      <c r="G257" s="102"/>
      <c r="H257" s="102"/>
      <c r="I257" s="102"/>
      <c r="J257" s="102"/>
    </row>
    <row r="258" spans="2:10">
      <c r="B258" s="102"/>
      <c r="C258" s="102"/>
      <c r="D258" s="102"/>
      <c r="E258" s="102"/>
      <c r="F258" s="102"/>
      <c r="G258" s="102"/>
      <c r="H258" s="102"/>
      <c r="I258" s="102"/>
      <c r="J258" s="102"/>
    </row>
    <row r="259" spans="2:10">
      <c r="B259" s="102"/>
      <c r="C259" s="102"/>
      <c r="D259" s="102"/>
      <c r="E259" s="102"/>
      <c r="F259" s="102"/>
      <c r="G259" s="102"/>
      <c r="H259" s="102"/>
      <c r="I259" s="102"/>
      <c r="J259" s="102"/>
    </row>
    <row r="260" spans="2:10">
      <c r="B260" s="102"/>
      <c r="C260" s="102"/>
      <c r="D260" s="102"/>
      <c r="E260" s="102"/>
      <c r="F260" s="102"/>
      <c r="G260" s="102"/>
      <c r="H260" s="102"/>
      <c r="I260" s="102"/>
      <c r="J260" s="102"/>
    </row>
    <row r="261" spans="2:10">
      <c r="B261" s="102"/>
      <c r="C261" s="187" t="s">
        <v>250</v>
      </c>
      <c r="D261" s="187"/>
      <c r="E261" s="102"/>
      <c r="F261" s="102"/>
      <c r="G261" s="142"/>
      <c r="H261" s="142"/>
      <c r="I261" s="102"/>
      <c r="J261" s="143" t="s">
        <v>112</v>
      </c>
    </row>
    <row r="262" spans="2:10">
      <c r="B262" s="102"/>
      <c r="C262" s="102"/>
      <c r="D262" s="102"/>
      <c r="E262" s="102"/>
      <c r="F262" s="102"/>
      <c r="G262" s="102"/>
      <c r="H262" s="102"/>
      <c r="I262" s="102"/>
      <c r="J262" s="102"/>
    </row>
  </sheetData>
  <sheetProtection sheet="1" objects="1" scenarios="1"/>
  <mergeCells count="3">
    <mergeCell ref="F17:G17"/>
    <mergeCell ref="F18:G18"/>
    <mergeCell ref="C261:D261"/>
  </mergeCells>
  <hyperlinks>
    <hyperlink ref="D151" r:id="rId1"/>
    <hyperlink ref="D8" location="Erstens" display="Technische Informationen zur Anwendung für das Liquiditätsplanungs-Tool"/>
    <hyperlink ref="D11" location="Viertens" display="Betriebswirtschaftliche Betrachtungen zur Liquiditätsplanung"/>
    <hyperlink ref="F17" location="Forderungsbestand!A1" display="» Forderungsbestand"/>
    <hyperlink ref="D176" r:id="rId2" display="Sie senden eine E-Mail an Service@ControllerSpielwiese.de mit Ihrer Rechnungsadresse und dem Stichwort Zeiterfassung"/>
    <hyperlink ref="D9" location="Zweitens" display="Praktische Hinweise zum Erstellen/Ausfüllen der Liquiditätsplanung"/>
    <hyperlink ref="D10" location="Drittens" display="Kostenlose Version vers. Premiumversion"/>
    <hyperlink ref="C261" r:id="rId3" display="Kennzahlenübersicht"/>
    <hyperlink ref="J261" location="Erstens" display="Technische Informationen zur Anwendung für das Liquiditätsplanungs-Tool"/>
    <hyperlink ref="D148" r:id="rId4"/>
    <hyperlink ref="F18" location="Forderungsbestand!A1" display="» Forderungsbestand"/>
    <hyperlink ref="F18:G18" location="Jan!A1" display="Jan ... und folgende"/>
    <hyperlink ref="F17:G17" location="Vorgaben!A1" display="Vorgaben"/>
    <hyperlink ref="F19" location="Feiertagsberechnung!A1" display="Feiertagsberechnung"/>
    <hyperlink ref="D157" r:id="rId5"/>
  </hyperlinks>
  <pageMargins left="0.31496062992125984" right="0" top="0.39370078740157483" bottom="0.23622047244094491" header="0" footer="0"/>
  <pageSetup paperSize="9" scale="95" orientation="landscape" r:id="rId6"/>
  <headerFooter>
    <oddFooter>&amp;L&amp;8C by ControllerSpielwiese.de&amp;C&amp;8Seite &amp;P&amp;R&amp;8Verfasser: Joachim Becker</oddFooter>
  </headerFooter>
  <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A1:Y53"/>
  <sheetViews>
    <sheetView showGridLines="0" zoomScale="85" zoomScaleNormal="85" workbookViewId="0">
      <pane xSplit="8" topLeftCell="I1" activePane="topRight" state="frozenSplit"/>
      <selection pane="topRight"/>
    </sheetView>
  </sheetViews>
  <sheetFormatPr baseColWidth="10" defaultRowHeight="15"/>
  <cols>
    <col min="1" max="1" width="1.85546875" style="3" customWidth="1"/>
    <col min="2" max="2" width="5.5703125" style="3" customWidth="1"/>
    <col min="3" max="3" width="24.140625" style="3" customWidth="1"/>
    <col min="4" max="4" width="31" style="3" customWidth="1"/>
    <col min="5" max="5" width="14.140625" style="3" customWidth="1"/>
    <col min="6" max="6" width="12.7109375" style="3" customWidth="1"/>
    <col min="7" max="7" width="21.140625" style="3" customWidth="1"/>
    <col min="8" max="8" width="21.140625" style="3" hidden="1" customWidth="1"/>
    <col min="9" max="9" width="21.140625" style="3" customWidth="1"/>
    <col min="10" max="16" width="13.5703125" style="3" customWidth="1"/>
    <col min="17" max="17" width="12.5703125" style="3" customWidth="1"/>
    <col min="18" max="24" width="13.5703125" style="3" customWidth="1"/>
    <col min="25" max="16384" width="11.42578125" style="3"/>
  </cols>
  <sheetData>
    <row r="1" spans="1:25" ht="7.5" customHeight="1">
      <c r="A1" s="145"/>
    </row>
    <row r="2" spans="1:25" ht="21">
      <c r="B2" s="146" t="s">
        <v>144</v>
      </c>
      <c r="C2" s="146"/>
      <c r="D2" s="146"/>
      <c r="E2" s="146"/>
      <c r="F2" s="146"/>
      <c r="G2" s="146"/>
    </row>
    <row r="3" spans="1:25" ht="21">
      <c r="B3" s="146" t="s">
        <v>145</v>
      </c>
      <c r="C3" s="146"/>
      <c r="D3" s="146"/>
      <c r="E3" s="146"/>
      <c r="F3" s="146"/>
      <c r="G3" s="146"/>
    </row>
    <row r="4" spans="1:25" ht="12" customHeight="1">
      <c r="B4" s="146"/>
      <c r="C4" s="146"/>
      <c r="D4" s="146"/>
      <c r="E4" s="146"/>
      <c r="F4" s="146"/>
      <c r="G4" s="146"/>
    </row>
    <row r="6" spans="1:25" ht="15.75">
      <c r="C6" s="191" t="s">
        <v>146</v>
      </c>
      <c r="D6" s="189">
        <f>Vorgaben!J4</f>
        <v>2026</v>
      </c>
      <c r="E6" s="162"/>
      <c r="I6" s="147"/>
    </row>
    <row r="7" spans="1:25" ht="15.75">
      <c r="C7" s="191" t="s">
        <v>147</v>
      </c>
      <c r="D7" s="190" t="str">
        <f>Vorgaben!I5</f>
        <v>Baden-Württemberg</v>
      </c>
      <c r="E7" s="147"/>
    </row>
    <row r="8" spans="1:25">
      <c r="I8" s="3" t="s">
        <v>148</v>
      </c>
    </row>
    <row r="9" spans="1:25" ht="30.75" customHeight="1">
      <c r="B9" s="33" t="s">
        <v>149</v>
      </c>
      <c r="C9" s="5" t="s">
        <v>150</v>
      </c>
      <c r="D9" s="33" t="s">
        <v>151</v>
      </c>
      <c r="E9" s="148" t="s">
        <v>152</v>
      </c>
      <c r="F9" s="149" t="s">
        <v>153</v>
      </c>
      <c r="G9" s="21" t="str">
        <f>D7</f>
        <v>Baden-Württemberg</v>
      </c>
      <c r="H9" s="162"/>
      <c r="I9" s="150" t="s">
        <v>82</v>
      </c>
      <c r="J9" s="151" t="s">
        <v>154</v>
      </c>
      <c r="K9" s="151" t="s">
        <v>155</v>
      </c>
      <c r="L9" s="151" t="s">
        <v>156</v>
      </c>
      <c r="M9" s="151" t="s">
        <v>157</v>
      </c>
      <c r="N9" s="151" t="s">
        <v>158</v>
      </c>
      <c r="O9" s="151" t="s">
        <v>159</v>
      </c>
      <c r="P9" s="152" t="s">
        <v>160</v>
      </c>
      <c r="Q9" s="150" t="s">
        <v>161</v>
      </c>
      <c r="R9" s="150" t="s">
        <v>162</v>
      </c>
      <c r="S9" s="150" t="s">
        <v>163</v>
      </c>
      <c r="T9" s="151" t="s">
        <v>164</v>
      </c>
      <c r="U9" s="151" t="s">
        <v>165</v>
      </c>
      <c r="V9" s="150" t="s">
        <v>166</v>
      </c>
      <c r="W9" s="150" t="s">
        <v>167</v>
      </c>
      <c r="X9" s="151" t="s">
        <v>168</v>
      </c>
      <c r="Y9" s="153" t="s">
        <v>169</v>
      </c>
    </row>
    <row r="10" spans="1:25">
      <c r="B10" s="154"/>
      <c r="F10" s="155" t="str">
        <f>"01.01."&amp;D6</f>
        <v>01.01.2026</v>
      </c>
      <c r="H10" s="157"/>
    </row>
    <row r="11" spans="1:25">
      <c r="B11" s="154" t="s">
        <v>85</v>
      </c>
      <c r="C11" s="3" t="s">
        <v>170</v>
      </c>
      <c r="D11" s="156">
        <v>44197</v>
      </c>
      <c r="E11" s="3" t="s">
        <v>171</v>
      </c>
      <c r="F11" s="157">
        <f>IF(G11="x",DATE(YEAR($F$10),1,1),"")</f>
        <v>44561</v>
      </c>
      <c r="G11" s="158" t="str">
        <f>HLOOKUP($G$9,$I$9:$X$33,3,0)</f>
        <v>x</v>
      </c>
      <c r="H11" s="155">
        <f t="shared" ref="H11:H12" si="0">IF(G11="x",F11,1)</f>
        <v>44561</v>
      </c>
      <c r="I11" s="159" t="s">
        <v>172</v>
      </c>
      <c r="J11" s="160" t="s">
        <v>172</v>
      </c>
      <c r="K11" s="161" t="s">
        <v>172</v>
      </c>
      <c r="L11" s="161" t="s">
        <v>172</v>
      </c>
      <c r="M11" s="161" t="s">
        <v>172</v>
      </c>
      <c r="N11" s="161" t="s">
        <v>172</v>
      </c>
      <c r="O11" s="161" t="s">
        <v>172</v>
      </c>
      <c r="P11" s="161" t="s">
        <v>172</v>
      </c>
      <c r="Q11" s="161" t="s">
        <v>172</v>
      </c>
      <c r="R11" s="161" t="s">
        <v>172</v>
      </c>
      <c r="S11" s="161" t="s">
        <v>172</v>
      </c>
      <c r="T11" s="161" t="s">
        <v>172</v>
      </c>
      <c r="U11" s="161" t="s">
        <v>172</v>
      </c>
      <c r="V11" s="161" t="s">
        <v>172</v>
      </c>
      <c r="W11" s="161" t="s">
        <v>172</v>
      </c>
      <c r="X11" s="161" t="s">
        <v>172</v>
      </c>
      <c r="Y11" s="3">
        <f>COUNTA(I11:X11)</f>
        <v>16</v>
      </c>
    </row>
    <row r="12" spans="1:25">
      <c r="B12" s="154" t="s">
        <v>86</v>
      </c>
      <c r="C12" s="3" t="s">
        <v>173</v>
      </c>
      <c r="D12" s="156">
        <v>44202</v>
      </c>
      <c r="E12" s="3" t="s">
        <v>171</v>
      </c>
      <c r="F12" s="162">
        <f>IF(G12="x",DATE(YEAR($F$10),1,6),"")</f>
        <v>44566</v>
      </c>
      <c r="G12" s="158" t="str">
        <f>HLOOKUP($G$9,$I$9:$X$33,4,0)</f>
        <v>x</v>
      </c>
      <c r="H12" s="155">
        <f t="shared" si="0"/>
        <v>44566</v>
      </c>
      <c r="I12" s="159" t="s">
        <v>172</v>
      </c>
      <c r="J12" s="159" t="s">
        <v>172</v>
      </c>
      <c r="K12" s="161"/>
      <c r="L12" s="161"/>
      <c r="M12" s="161"/>
      <c r="N12" s="161"/>
      <c r="O12" s="161"/>
      <c r="P12" s="161"/>
      <c r="Q12" s="161"/>
      <c r="R12" s="161"/>
      <c r="S12" s="161"/>
      <c r="T12" s="161"/>
      <c r="U12" s="161"/>
      <c r="V12" s="159" t="s">
        <v>172</v>
      </c>
      <c r="W12" s="161"/>
      <c r="X12" s="161"/>
      <c r="Y12" s="3">
        <f t="shared" ref="Y12:Y33" si="1">COUNTA(I12:X12)</f>
        <v>3</v>
      </c>
    </row>
    <row r="13" spans="1:25">
      <c r="B13" s="154" t="s">
        <v>87</v>
      </c>
      <c r="C13" s="3" t="s">
        <v>174</v>
      </c>
      <c r="D13" s="163" t="s">
        <v>175</v>
      </c>
      <c r="E13" s="3" t="s">
        <v>176</v>
      </c>
      <c r="F13" s="162">
        <f>$F$16-48</f>
        <v>44607</v>
      </c>
      <c r="G13" s="158">
        <f>HLOOKUP($G$9,$I$9:$X$33,5,0)</f>
        <v>0</v>
      </c>
      <c r="H13" s="155">
        <f>IF(G13="x",F13,1)</f>
        <v>1</v>
      </c>
      <c r="I13" s="159"/>
      <c r="J13" s="160"/>
      <c r="K13" s="161"/>
      <c r="L13" s="161"/>
      <c r="M13" s="161"/>
      <c r="N13" s="161"/>
      <c r="O13" s="161"/>
      <c r="P13" s="161"/>
      <c r="Q13" s="161"/>
      <c r="R13" s="161"/>
      <c r="S13" s="161"/>
      <c r="T13" s="161"/>
      <c r="U13" s="161"/>
      <c r="V13" s="161"/>
      <c r="W13" s="161"/>
      <c r="X13" s="161"/>
      <c r="Y13" s="3">
        <f t="shared" si="1"/>
        <v>0</v>
      </c>
    </row>
    <row r="14" spans="1:25">
      <c r="B14" s="154" t="s">
        <v>89</v>
      </c>
      <c r="C14" s="3" t="s">
        <v>177</v>
      </c>
      <c r="D14" s="156">
        <v>44263</v>
      </c>
      <c r="E14" s="3" t="s">
        <v>171</v>
      </c>
      <c r="F14" s="162" t="str">
        <f>IF(G14="x",DATE(YEAR($F$10),3,8),"")</f>
        <v/>
      </c>
      <c r="G14" s="158">
        <f>HLOOKUP($G$9,$I$9:$X$33,6,0)</f>
        <v>0</v>
      </c>
      <c r="H14" s="155">
        <f t="shared" ref="H14:H33" si="2">IF(G14="x",F14,1)</f>
        <v>1</v>
      </c>
      <c r="I14" s="159"/>
      <c r="J14" s="160"/>
      <c r="K14" s="161" t="s">
        <v>172</v>
      </c>
      <c r="L14" s="161"/>
      <c r="M14" s="161"/>
      <c r="N14" s="161"/>
      <c r="O14" s="161"/>
      <c r="P14" s="161" t="s">
        <v>172</v>
      </c>
      <c r="Q14" s="161"/>
      <c r="R14" s="161"/>
      <c r="S14" s="161"/>
      <c r="T14" s="161"/>
      <c r="U14" s="161"/>
      <c r="V14" s="161"/>
      <c r="W14" s="161"/>
      <c r="X14" s="161"/>
      <c r="Y14" s="3">
        <f t="shared" si="1"/>
        <v>2</v>
      </c>
    </row>
    <row r="15" spans="1:25">
      <c r="B15" s="154" t="s">
        <v>178</v>
      </c>
      <c r="C15" s="3" t="s">
        <v>179</v>
      </c>
      <c r="D15" s="163" t="s">
        <v>180</v>
      </c>
      <c r="E15" s="3" t="s">
        <v>176</v>
      </c>
      <c r="F15" s="162">
        <f>$F$16-2</f>
        <v>44653</v>
      </c>
      <c r="G15" s="158" t="str">
        <f>HLOOKUP($G$9,$I$9:$X$33,7,0)</f>
        <v>x</v>
      </c>
      <c r="H15" s="155">
        <f t="shared" si="2"/>
        <v>44653</v>
      </c>
      <c r="I15" s="159" t="s">
        <v>172</v>
      </c>
      <c r="J15" s="160" t="s">
        <v>172</v>
      </c>
      <c r="K15" s="161" t="s">
        <v>172</v>
      </c>
      <c r="L15" s="161" t="s">
        <v>172</v>
      </c>
      <c r="M15" s="161" t="s">
        <v>172</v>
      </c>
      <c r="N15" s="161" t="s">
        <v>172</v>
      </c>
      <c r="O15" s="161" t="s">
        <v>172</v>
      </c>
      <c r="P15" s="161" t="s">
        <v>172</v>
      </c>
      <c r="Q15" s="161" t="s">
        <v>172</v>
      </c>
      <c r="R15" s="161" t="s">
        <v>172</v>
      </c>
      <c r="S15" s="161" t="s">
        <v>172</v>
      </c>
      <c r="T15" s="161" t="s">
        <v>172</v>
      </c>
      <c r="U15" s="161" t="s">
        <v>172</v>
      </c>
      <c r="V15" s="161" t="s">
        <v>172</v>
      </c>
      <c r="W15" s="161" t="s">
        <v>172</v>
      </c>
      <c r="X15" s="161" t="s">
        <v>172</v>
      </c>
      <c r="Y15" s="3">
        <f t="shared" si="1"/>
        <v>16</v>
      </c>
    </row>
    <row r="16" spans="1:25">
      <c r="B16" s="154" t="s">
        <v>181</v>
      </c>
      <c r="C16" s="3" t="s">
        <v>182</v>
      </c>
      <c r="D16" s="163" t="s">
        <v>183</v>
      </c>
      <c r="E16" s="3" t="s">
        <v>176</v>
      </c>
      <c r="F16" s="162">
        <f>DATE($D$6,3,28)+MOD(24-MOD($D$6,19)*10.63,29)-MOD(TRUNC($D$6*5/4)+MOD(24-MOD($D$6,19)*10.63,29)+1,7)</f>
        <v>44655</v>
      </c>
      <c r="G16" s="158" t="str">
        <f>HLOOKUP($G$9,$I$9:$X$33,8,0)</f>
        <v>x</v>
      </c>
      <c r="H16" s="155">
        <f t="shared" si="2"/>
        <v>44655</v>
      </c>
      <c r="I16" s="159" t="s">
        <v>172</v>
      </c>
      <c r="J16" s="160" t="s">
        <v>172</v>
      </c>
      <c r="K16" s="161" t="s">
        <v>172</v>
      </c>
      <c r="L16" s="161" t="s">
        <v>172</v>
      </c>
      <c r="M16" s="161" t="s">
        <v>172</v>
      </c>
      <c r="N16" s="161" t="s">
        <v>172</v>
      </c>
      <c r="O16" s="161" t="s">
        <v>172</v>
      </c>
      <c r="P16" s="161" t="s">
        <v>172</v>
      </c>
      <c r="Q16" s="161" t="s">
        <v>172</v>
      </c>
      <c r="R16" s="161" t="s">
        <v>172</v>
      </c>
      <c r="S16" s="161" t="s">
        <v>172</v>
      </c>
      <c r="T16" s="161" t="s">
        <v>172</v>
      </c>
      <c r="U16" s="161" t="s">
        <v>172</v>
      </c>
      <c r="V16" s="161" t="s">
        <v>172</v>
      </c>
      <c r="W16" s="161" t="s">
        <v>172</v>
      </c>
      <c r="X16" s="161" t="s">
        <v>172</v>
      </c>
      <c r="Y16" s="3">
        <f t="shared" si="1"/>
        <v>16</v>
      </c>
    </row>
    <row r="17" spans="2:25">
      <c r="B17" s="154" t="s">
        <v>184</v>
      </c>
      <c r="C17" s="3" t="s">
        <v>185</v>
      </c>
      <c r="D17" s="163" t="s">
        <v>186</v>
      </c>
      <c r="E17" s="3" t="s">
        <v>176</v>
      </c>
      <c r="F17" s="162">
        <f>$F$16+1</f>
        <v>44656</v>
      </c>
      <c r="G17" s="158" t="str">
        <f>HLOOKUP($G$9,$I$9:$X$33,9,0)</f>
        <v>x</v>
      </c>
      <c r="H17" s="155">
        <f t="shared" si="2"/>
        <v>44656</v>
      </c>
      <c r="I17" s="159" t="s">
        <v>172</v>
      </c>
      <c r="J17" s="160" t="s">
        <v>172</v>
      </c>
      <c r="K17" s="161" t="s">
        <v>172</v>
      </c>
      <c r="L17" s="161" t="s">
        <v>172</v>
      </c>
      <c r="M17" s="161" t="s">
        <v>172</v>
      </c>
      <c r="N17" s="161" t="s">
        <v>172</v>
      </c>
      <c r="O17" s="161" t="s">
        <v>172</v>
      </c>
      <c r="P17" s="161" t="s">
        <v>172</v>
      </c>
      <c r="Q17" s="161" t="s">
        <v>172</v>
      </c>
      <c r="R17" s="161" t="s">
        <v>172</v>
      </c>
      <c r="S17" s="161" t="s">
        <v>172</v>
      </c>
      <c r="T17" s="161" t="s">
        <v>172</v>
      </c>
      <c r="U17" s="161" t="s">
        <v>172</v>
      </c>
      <c r="V17" s="161" t="s">
        <v>172</v>
      </c>
      <c r="W17" s="161" t="s">
        <v>172</v>
      </c>
      <c r="X17" s="161" t="s">
        <v>172</v>
      </c>
      <c r="Y17" s="3">
        <f t="shared" si="1"/>
        <v>16</v>
      </c>
    </row>
    <row r="18" spans="2:25">
      <c r="B18" s="154" t="s">
        <v>187</v>
      </c>
      <c r="C18" s="3" t="s">
        <v>188</v>
      </c>
      <c r="D18" s="156">
        <v>44317</v>
      </c>
      <c r="E18" s="3" t="s">
        <v>171</v>
      </c>
      <c r="F18" s="162">
        <f>DATE(YEAR($F$10),5,1)</f>
        <v>44681</v>
      </c>
      <c r="G18" s="158" t="str">
        <f>HLOOKUP($G$9,$I$9:$X$33,10,0)</f>
        <v>x</v>
      </c>
      <c r="H18" s="155">
        <f t="shared" si="2"/>
        <v>44681</v>
      </c>
      <c r="I18" s="159" t="s">
        <v>172</v>
      </c>
      <c r="J18" s="160" t="s">
        <v>172</v>
      </c>
      <c r="K18" s="161" t="s">
        <v>172</v>
      </c>
      <c r="L18" s="161" t="s">
        <v>172</v>
      </c>
      <c r="M18" s="161" t="s">
        <v>172</v>
      </c>
      <c r="N18" s="161" t="s">
        <v>172</v>
      </c>
      <c r="O18" s="161" t="s">
        <v>172</v>
      </c>
      <c r="P18" s="161" t="s">
        <v>172</v>
      </c>
      <c r="Q18" s="161" t="s">
        <v>172</v>
      </c>
      <c r="R18" s="161" t="s">
        <v>172</v>
      </c>
      <c r="S18" s="161" t="s">
        <v>172</v>
      </c>
      <c r="T18" s="161" t="s">
        <v>172</v>
      </c>
      <c r="U18" s="161" t="s">
        <v>172</v>
      </c>
      <c r="V18" s="161" t="s">
        <v>172</v>
      </c>
      <c r="W18" s="161" t="s">
        <v>172</v>
      </c>
      <c r="X18" s="161" t="s">
        <v>172</v>
      </c>
      <c r="Y18" s="3">
        <f t="shared" si="1"/>
        <v>16</v>
      </c>
    </row>
    <row r="19" spans="2:25">
      <c r="B19" s="154" t="s">
        <v>189</v>
      </c>
      <c r="C19" s="3" t="s">
        <v>190</v>
      </c>
      <c r="D19" s="163" t="s">
        <v>191</v>
      </c>
      <c r="E19" s="3" t="s">
        <v>176</v>
      </c>
      <c r="F19" s="162">
        <f>$F$16+39</f>
        <v>44694</v>
      </c>
      <c r="G19" s="158" t="str">
        <f>HLOOKUP($G$9,$I$9:$X$33,11,0)</f>
        <v>x</v>
      </c>
      <c r="H19" s="155">
        <f t="shared" si="2"/>
        <v>44694</v>
      </c>
      <c r="I19" s="159" t="s">
        <v>172</v>
      </c>
      <c r="J19" s="159" t="s">
        <v>172</v>
      </c>
      <c r="K19" s="159" t="s">
        <v>172</v>
      </c>
      <c r="L19" s="159" t="s">
        <v>172</v>
      </c>
      <c r="M19" s="159" t="s">
        <v>172</v>
      </c>
      <c r="N19" s="159" t="s">
        <v>172</v>
      </c>
      <c r="O19" s="159" t="s">
        <v>172</v>
      </c>
      <c r="P19" s="159" t="s">
        <v>172</v>
      </c>
      <c r="Q19" s="159" t="s">
        <v>172</v>
      </c>
      <c r="R19" s="159" t="s">
        <v>172</v>
      </c>
      <c r="S19" s="159" t="s">
        <v>172</v>
      </c>
      <c r="T19" s="159" t="s">
        <v>172</v>
      </c>
      <c r="U19" s="159" t="s">
        <v>172</v>
      </c>
      <c r="V19" s="159" t="s">
        <v>172</v>
      </c>
      <c r="W19" s="159" t="s">
        <v>172</v>
      </c>
      <c r="X19" s="159" t="s">
        <v>172</v>
      </c>
      <c r="Y19" s="3">
        <f t="shared" si="1"/>
        <v>16</v>
      </c>
    </row>
    <row r="20" spans="2:25">
      <c r="B20" s="154" t="s">
        <v>192</v>
      </c>
      <c r="C20" s="3" t="s">
        <v>193</v>
      </c>
      <c r="D20" s="163" t="s">
        <v>194</v>
      </c>
      <c r="E20" s="3" t="s">
        <v>176</v>
      </c>
      <c r="F20" s="162">
        <f>$F$16+49</f>
        <v>44704</v>
      </c>
      <c r="G20" s="158" t="str">
        <f>HLOOKUP($G$9,$I$9:$X$33,12,0)</f>
        <v>x</v>
      </c>
      <c r="H20" s="155">
        <f t="shared" si="2"/>
        <v>44704</v>
      </c>
      <c r="I20" s="159" t="s">
        <v>172</v>
      </c>
      <c r="J20" s="159" t="s">
        <v>172</v>
      </c>
      <c r="K20" s="159" t="s">
        <v>172</v>
      </c>
      <c r="L20" s="159" t="s">
        <v>172</v>
      </c>
      <c r="M20" s="159" t="s">
        <v>172</v>
      </c>
      <c r="N20" s="159" t="s">
        <v>172</v>
      </c>
      <c r="O20" s="159" t="s">
        <v>172</v>
      </c>
      <c r="P20" s="159" t="s">
        <v>172</v>
      </c>
      <c r="Q20" s="159" t="s">
        <v>172</v>
      </c>
      <c r="R20" s="159" t="s">
        <v>172</v>
      </c>
      <c r="S20" s="159" t="s">
        <v>172</v>
      </c>
      <c r="T20" s="159" t="s">
        <v>172</v>
      </c>
      <c r="U20" s="159" t="s">
        <v>172</v>
      </c>
      <c r="V20" s="159" t="s">
        <v>172</v>
      </c>
      <c r="W20" s="159" t="s">
        <v>172</v>
      </c>
      <c r="X20" s="159" t="s">
        <v>172</v>
      </c>
      <c r="Y20" s="3">
        <f t="shared" si="1"/>
        <v>16</v>
      </c>
    </row>
    <row r="21" spans="2:25">
      <c r="B21" s="154" t="s">
        <v>195</v>
      </c>
      <c r="C21" s="3" t="s">
        <v>196</v>
      </c>
      <c r="D21" s="163" t="s">
        <v>197</v>
      </c>
      <c r="E21" s="3" t="s">
        <v>176</v>
      </c>
      <c r="F21" s="162">
        <f>$F$16+50</f>
        <v>44705</v>
      </c>
      <c r="G21" s="158" t="str">
        <f>HLOOKUP($G$9,$I$9:$X$33,13,0)</f>
        <v>x</v>
      </c>
      <c r="H21" s="155">
        <f t="shared" si="2"/>
        <v>44705</v>
      </c>
      <c r="I21" s="159" t="s">
        <v>172</v>
      </c>
      <c r="J21" s="159" t="s">
        <v>172</v>
      </c>
      <c r="K21" s="159" t="s">
        <v>172</v>
      </c>
      <c r="L21" s="159" t="s">
        <v>172</v>
      </c>
      <c r="M21" s="159" t="s">
        <v>172</v>
      </c>
      <c r="N21" s="159" t="s">
        <v>172</v>
      </c>
      <c r="O21" s="159" t="s">
        <v>172</v>
      </c>
      <c r="P21" s="159" t="s">
        <v>172</v>
      </c>
      <c r="Q21" s="159" t="s">
        <v>172</v>
      </c>
      <c r="R21" s="159" t="s">
        <v>172</v>
      </c>
      <c r="S21" s="159" t="s">
        <v>172</v>
      </c>
      <c r="T21" s="159" t="s">
        <v>172</v>
      </c>
      <c r="U21" s="159" t="s">
        <v>172</v>
      </c>
      <c r="V21" s="159" t="s">
        <v>172</v>
      </c>
      <c r="W21" s="159" t="s">
        <v>172</v>
      </c>
      <c r="X21" s="159" t="s">
        <v>172</v>
      </c>
      <c r="Y21" s="3">
        <f t="shared" si="1"/>
        <v>16</v>
      </c>
    </row>
    <row r="22" spans="2:25">
      <c r="B22" s="154" t="s">
        <v>198</v>
      </c>
      <c r="C22" s="3" t="s">
        <v>199</v>
      </c>
      <c r="D22" s="163" t="s">
        <v>200</v>
      </c>
      <c r="E22" s="3" t="s">
        <v>176</v>
      </c>
      <c r="F22" s="162">
        <f>IF(G22="x",$F$16+60,"")</f>
        <v>44715</v>
      </c>
      <c r="G22" s="158" t="str">
        <f>HLOOKUP($G$9,$I$9:$X$33,14,0)</f>
        <v>x</v>
      </c>
      <c r="H22" s="155">
        <f t="shared" si="2"/>
        <v>44715</v>
      </c>
      <c r="I22" s="159" t="s">
        <v>172</v>
      </c>
      <c r="J22" s="159" t="s">
        <v>172</v>
      </c>
      <c r="K22" s="161"/>
      <c r="L22" s="161"/>
      <c r="M22" s="161"/>
      <c r="N22" s="161"/>
      <c r="O22" s="159" t="s">
        <v>172</v>
      </c>
      <c r="P22" s="161"/>
      <c r="Q22" s="161"/>
      <c r="R22" s="159" t="s">
        <v>172</v>
      </c>
      <c r="S22" s="159" t="s">
        <v>172</v>
      </c>
      <c r="T22" s="159" t="s">
        <v>172</v>
      </c>
      <c r="U22" s="161" t="s">
        <v>172</v>
      </c>
      <c r="V22" s="161"/>
      <c r="W22" s="161"/>
      <c r="X22" s="161" t="s">
        <v>172</v>
      </c>
      <c r="Y22" s="3">
        <f t="shared" si="1"/>
        <v>8</v>
      </c>
    </row>
    <row r="23" spans="2:25">
      <c r="B23" s="154" t="s">
        <v>201</v>
      </c>
      <c r="C23" s="3" t="s">
        <v>202</v>
      </c>
      <c r="D23" s="156">
        <v>44416</v>
      </c>
      <c r="E23" s="3" t="s">
        <v>171</v>
      </c>
      <c r="F23" s="162" t="str">
        <f>IF(G23="x",DATE(YEAR($F$10),8,8),"")</f>
        <v/>
      </c>
      <c r="G23" s="158">
        <f>HLOOKUP($G$9,$I$9:$X$33,15,0)</f>
        <v>0</v>
      </c>
      <c r="H23" s="155">
        <f t="shared" si="2"/>
        <v>1</v>
      </c>
      <c r="I23" s="159"/>
      <c r="J23" s="160"/>
      <c r="K23" s="161"/>
      <c r="L23" s="161"/>
      <c r="M23" s="161"/>
      <c r="N23" s="161"/>
      <c r="O23" s="161"/>
      <c r="P23" s="161"/>
      <c r="Q23" s="161"/>
      <c r="R23" s="161"/>
      <c r="S23" s="161"/>
      <c r="T23" s="161"/>
      <c r="U23" s="161"/>
      <c r="V23" s="161"/>
      <c r="W23" s="161"/>
      <c r="X23" s="161"/>
      <c r="Y23" s="3">
        <f t="shared" si="1"/>
        <v>0</v>
      </c>
    </row>
    <row r="24" spans="2:25">
      <c r="B24" s="154" t="s">
        <v>203</v>
      </c>
      <c r="C24" s="3" t="s">
        <v>204</v>
      </c>
      <c r="D24" s="156">
        <v>44423</v>
      </c>
      <c r="E24" s="3" t="s">
        <v>171</v>
      </c>
      <c r="F24" s="162" t="str">
        <f>IF(G24="x",DATE(YEAR($F$10),8,15),"")</f>
        <v/>
      </c>
      <c r="G24" s="158">
        <f>HLOOKUP($G$9,$I$9:$X$33,16,0)</f>
        <v>0</v>
      </c>
      <c r="H24" s="155">
        <f t="shared" si="2"/>
        <v>1</v>
      </c>
      <c r="I24" s="159"/>
      <c r="J24" s="160" t="s">
        <v>172</v>
      </c>
      <c r="K24" s="161"/>
      <c r="L24" s="161"/>
      <c r="M24" s="161"/>
      <c r="N24" s="161"/>
      <c r="O24" s="161"/>
      <c r="P24" s="161"/>
      <c r="Q24" s="161"/>
      <c r="R24" s="161"/>
      <c r="S24" s="161"/>
      <c r="T24" s="161" t="s">
        <v>172</v>
      </c>
      <c r="U24" s="161"/>
      <c r="V24" s="161"/>
      <c r="W24" s="161"/>
      <c r="X24" s="161"/>
      <c r="Y24" s="3">
        <f t="shared" si="1"/>
        <v>2</v>
      </c>
    </row>
    <row r="25" spans="2:25">
      <c r="B25" s="154" t="s">
        <v>205</v>
      </c>
      <c r="C25" s="3" t="s">
        <v>206</v>
      </c>
      <c r="D25" s="156">
        <v>44459</v>
      </c>
      <c r="E25" s="3" t="s">
        <v>171</v>
      </c>
      <c r="F25" s="162" t="str">
        <f>IF(G25="x",DATE(YEAR($F$10),9,20),"")</f>
        <v/>
      </c>
      <c r="G25" s="158">
        <f>HLOOKUP($G$9,$I$9:$X$33,17,0)</f>
        <v>0</v>
      </c>
      <c r="H25" s="155">
        <f t="shared" si="2"/>
        <v>1</v>
      </c>
      <c r="I25" s="159"/>
      <c r="J25" s="160"/>
      <c r="K25" s="161"/>
      <c r="L25" s="161"/>
      <c r="M25" s="161"/>
      <c r="N25" s="161"/>
      <c r="O25" s="161"/>
      <c r="P25" s="161"/>
      <c r="Q25" s="161"/>
      <c r="R25" s="161"/>
      <c r="S25" s="161"/>
      <c r="T25" s="161"/>
      <c r="U25" s="161"/>
      <c r="V25" s="161"/>
      <c r="W25" s="161"/>
      <c r="X25" s="161" t="s">
        <v>172</v>
      </c>
      <c r="Y25" s="3">
        <f t="shared" si="1"/>
        <v>1</v>
      </c>
    </row>
    <row r="26" spans="2:25">
      <c r="B26" s="154" t="s">
        <v>207</v>
      </c>
      <c r="C26" s="3" t="s">
        <v>208</v>
      </c>
      <c r="D26" s="156">
        <v>44472</v>
      </c>
      <c r="E26" s="3" t="s">
        <v>171</v>
      </c>
      <c r="F26" s="162">
        <f>DATE(YEAR($F$10),10,3)</f>
        <v>44836</v>
      </c>
      <c r="G26" s="158" t="str">
        <f>HLOOKUP($G$9,$I$9:$X$33,18,0)</f>
        <v>x</v>
      </c>
      <c r="H26" s="155">
        <f t="shared" si="2"/>
        <v>44836</v>
      </c>
      <c r="I26" s="161" t="s">
        <v>172</v>
      </c>
      <c r="J26" s="161" t="s">
        <v>172</v>
      </c>
      <c r="K26" s="161" t="s">
        <v>172</v>
      </c>
      <c r="L26" s="161" t="s">
        <v>172</v>
      </c>
      <c r="M26" s="161" t="s">
        <v>172</v>
      </c>
      <c r="N26" s="161" t="s">
        <v>172</v>
      </c>
      <c r="O26" s="161" t="s">
        <v>172</v>
      </c>
      <c r="P26" s="161" t="s">
        <v>172</v>
      </c>
      <c r="Q26" s="161" t="s">
        <v>172</v>
      </c>
      <c r="R26" s="161" t="s">
        <v>172</v>
      </c>
      <c r="S26" s="161" t="s">
        <v>172</v>
      </c>
      <c r="T26" s="161" t="s">
        <v>172</v>
      </c>
      <c r="U26" s="161" t="s">
        <v>172</v>
      </c>
      <c r="V26" s="161" t="s">
        <v>172</v>
      </c>
      <c r="W26" s="161" t="s">
        <v>172</v>
      </c>
      <c r="X26" s="161" t="s">
        <v>172</v>
      </c>
      <c r="Y26" s="3">
        <f t="shared" si="1"/>
        <v>16</v>
      </c>
    </row>
    <row r="27" spans="2:25">
      <c r="B27" s="154" t="s">
        <v>209</v>
      </c>
      <c r="C27" s="3" t="s">
        <v>210</v>
      </c>
      <c r="D27" s="156">
        <v>44500</v>
      </c>
      <c r="E27" s="3" t="s">
        <v>171</v>
      </c>
      <c r="F27" s="162" t="str">
        <f>IF(G27="x",DATE(YEAR($F$10),10,31),"")</f>
        <v/>
      </c>
      <c r="G27" s="158">
        <f>HLOOKUP($G$9,$I$9:$X$33,19,0)</f>
        <v>0</v>
      </c>
      <c r="H27" s="155">
        <f t="shared" si="2"/>
        <v>1</v>
      </c>
      <c r="I27" s="159"/>
      <c r="J27" s="160"/>
      <c r="K27" s="161"/>
      <c r="L27" s="161" t="s">
        <v>172</v>
      </c>
      <c r="M27" s="161" t="s">
        <v>172</v>
      </c>
      <c r="N27" s="161" t="s">
        <v>172</v>
      </c>
      <c r="O27" s="161"/>
      <c r="P27" s="161" t="s">
        <v>172</v>
      </c>
      <c r="Q27" s="161" t="s">
        <v>172</v>
      </c>
      <c r="R27" s="161"/>
      <c r="S27" s="161"/>
      <c r="T27" s="161"/>
      <c r="U27" s="161" t="s">
        <v>172</v>
      </c>
      <c r="V27" s="161" t="s">
        <v>172</v>
      </c>
      <c r="W27" s="161" t="s">
        <v>172</v>
      </c>
      <c r="X27" s="161" t="s">
        <v>172</v>
      </c>
      <c r="Y27" s="3">
        <f t="shared" si="1"/>
        <v>9</v>
      </c>
    </row>
    <row r="28" spans="2:25">
      <c r="B28" s="154" t="s">
        <v>211</v>
      </c>
      <c r="C28" s="3" t="s">
        <v>212</v>
      </c>
      <c r="D28" s="156">
        <v>44501</v>
      </c>
      <c r="E28" s="3" t="s">
        <v>171</v>
      </c>
      <c r="F28" s="162">
        <f>IF(G28="x",DATE(YEAR($F$10),11,1),"")</f>
        <v>44865</v>
      </c>
      <c r="G28" s="158" t="str">
        <f>HLOOKUP($G$9,$I$9:$X$33,20,0)</f>
        <v>x</v>
      </c>
      <c r="H28" s="155">
        <f t="shared" si="2"/>
        <v>44865</v>
      </c>
      <c r="I28" s="161" t="s">
        <v>172</v>
      </c>
      <c r="J28" s="161" t="s">
        <v>172</v>
      </c>
      <c r="K28" s="161"/>
      <c r="L28" s="161"/>
      <c r="M28" s="161"/>
      <c r="N28" s="161"/>
      <c r="O28" s="161"/>
      <c r="P28" s="161"/>
      <c r="Q28" s="161"/>
      <c r="R28" s="161" t="s">
        <v>172</v>
      </c>
      <c r="S28" s="161" t="s">
        <v>172</v>
      </c>
      <c r="T28" s="161" t="s">
        <v>172</v>
      </c>
      <c r="U28" s="161"/>
      <c r="V28" s="161"/>
      <c r="W28" s="161"/>
      <c r="X28" s="161"/>
      <c r="Y28" s="3">
        <f t="shared" si="1"/>
        <v>5</v>
      </c>
    </row>
    <row r="29" spans="2:25">
      <c r="B29" s="154" t="s">
        <v>213</v>
      </c>
      <c r="C29" s="3" t="s">
        <v>214</v>
      </c>
      <c r="D29" s="163" t="s">
        <v>215</v>
      </c>
      <c r="E29" s="3" t="s">
        <v>176</v>
      </c>
      <c r="F29" s="157" t="str">
        <f>IF(G29="x",(DATE($D$6,12,24)-WEEKDAY(DATE($D$6,12,24),1)-31),"")</f>
        <v/>
      </c>
      <c r="G29" s="158">
        <f>HLOOKUP($G$9,$I$9:$X$33,21,0)</f>
        <v>0</v>
      </c>
      <c r="H29" s="155">
        <f t="shared" si="2"/>
        <v>1</v>
      </c>
      <c r="I29" s="159"/>
      <c r="J29" s="160"/>
      <c r="K29" s="161"/>
      <c r="L29" s="161"/>
      <c r="M29" s="161"/>
      <c r="N29" s="161"/>
      <c r="O29" s="161"/>
      <c r="P29" s="161"/>
      <c r="Q29" s="161"/>
      <c r="R29" s="161"/>
      <c r="S29" s="161"/>
      <c r="T29" s="161"/>
      <c r="U29" s="161" t="s">
        <v>172</v>
      </c>
      <c r="V29" s="161"/>
      <c r="W29" s="161"/>
      <c r="X29" s="161"/>
      <c r="Y29" s="3">
        <f t="shared" si="1"/>
        <v>1</v>
      </c>
    </row>
    <row r="30" spans="2:25">
      <c r="B30" s="154" t="s">
        <v>216</v>
      </c>
      <c r="C30" s="3" t="s">
        <v>217</v>
      </c>
      <c r="D30" s="156">
        <v>44554</v>
      </c>
      <c r="E30" s="3" t="s">
        <v>171</v>
      </c>
      <c r="F30" s="162">
        <f>DATE(YEAR($F$10),12,24)</f>
        <v>44918</v>
      </c>
      <c r="G30" s="158">
        <f>HLOOKUP($G$9,$I$9:$X$33,22,0)</f>
        <v>0</v>
      </c>
      <c r="H30" s="155">
        <f t="shared" si="2"/>
        <v>1</v>
      </c>
      <c r="I30" s="159"/>
      <c r="J30" s="159"/>
      <c r="K30" s="161"/>
      <c r="L30" s="161"/>
      <c r="M30" s="161"/>
      <c r="N30" s="161"/>
      <c r="O30" s="161"/>
      <c r="P30" s="161"/>
      <c r="Q30" s="161"/>
      <c r="R30" s="161"/>
      <c r="S30" s="161"/>
      <c r="T30" s="161"/>
      <c r="U30" s="161"/>
      <c r="V30" s="161"/>
      <c r="W30" s="161"/>
      <c r="X30" s="161"/>
      <c r="Y30" s="3">
        <f t="shared" si="1"/>
        <v>0</v>
      </c>
    </row>
    <row r="31" spans="2:25">
      <c r="B31" s="154" t="s">
        <v>218</v>
      </c>
      <c r="C31" s="3" t="s">
        <v>219</v>
      </c>
      <c r="D31" s="156">
        <v>44555</v>
      </c>
      <c r="E31" s="3" t="s">
        <v>171</v>
      </c>
      <c r="F31" s="162">
        <f>DATE(YEAR($F$10),12,25)</f>
        <v>44919</v>
      </c>
      <c r="G31" s="158" t="str">
        <f>HLOOKUP($G$9,$I$9:$X$33,23,0)</f>
        <v>x</v>
      </c>
      <c r="H31" s="155">
        <f t="shared" si="2"/>
        <v>44919</v>
      </c>
      <c r="I31" s="159" t="s">
        <v>172</v>
      </c>
      <c r="J31" s="160" t="s">
        <v>172</v>
      </c>
      <c r="K31" s="161" t="s">
        <v>172</v>
      </c>
      <c r="L31" s="161" t="s">
        <v>172</v>
      </c>
      <c r="M31" s="161" t="s">
        <v>172</v>
      </c>
      <c r="N31" s="161" t="s">
        <v>172</v>
      </c>
      <c r="O31" s="161" t="s">
        <v>172</v>
      </c>
      <c r="P31" s="161" t="s">
        <v>172</v>
      </c>
      <c r="Q31" s="161" t="s">
        <v>172</v>
      </c>
      <c r="R31" s="161" t="s">
        <v>172</v>
      </c>
      <c r="S31" s="161" t="s">
        <v>172</v>
      </c>
      <c r="T31" s="161" t="s">
        <v>172</v>
      </c>
      <c r="U31" s="161" t="s">
        <v>172</v>
      </c>
      <c r="V31" s="161" t="s">
        <v>172</v>
      </c>
      <c r="W31" s="161" t="s">
        <v>172</v>
      </c>
      <c r="X31" s="161" t="s">
        <v>172</v>
      </c>
      <c r="Y31" s="3">
        <f t="shared" si="1"/>
        <v>16</v>
      </c>
    </row>
    <row r="32" spans="2:25">
      <c r="B32" s="154" t="s">
        <v>220</v>
      </c>
      <c r="C32" s="3" t="s">
        <v>221</v>
      </c>
      <c r="D32" s="156">
        <v>44556</v>
      </c>
      <c r="E32" s="3" t="s">
        <v>171</v>
      </c>
      <c r="F32" s="162">
        <f>DATE(YEAR($F$10),12,26)</f>
        <v>44920</v>
      </c>
      <c r="G32" s="158" t="str">
        <f>HLOOKUP($G$9,$I$9:$X$33,24,0)</f>
        <v>x</v>
      </c>
      <c r="H32" s="155">
        <f t="shared" si="2"/>
        <v>44920</v>
      </c>
      <c r="I32" s="159" t="s">
        <v>172</v>
      </c>
      <c r="J32" s="160" t="s">
        <v>172</v>
      </c>
      <c r="K32" s="161" t="s">
        <v>172</v>
      </c>
      <c r="L32" s="161" t="s">
        <v>172</v>
      </c>
      <c r="M32" s="161" t="s">
        <v>172</v>
      </c>
      <c r="N32" s="161" t="s">
        <v>172</v>
      </c>
      <c r="O32" s="161" t="s">
        <v>172</v>
      </c>
      <c r="P32" s="161" t="s">
        <v>172</v>
      </c>
      <c r="Q32" s="161" t="s">
        <v>172</v>
      </c>
      <c r="R32" s="161" t="s">
        <v>172</v>
      </c>
      <c r="S32" s="161" t="s">
        <v>172</v>
      </c>
      <c r="T32" s="161" t="s">
        <v>172</v>
      </c>
      <c r="U32" s="161" t="s">
        <v>172</v>
      </c>
      <c r="V32" s="161" t="s">
        <v>172</v>
      </c>
      <c r="W32" s="161" t="s">
        <v>172</v>
      </c>
      <c r="X32" s="161" t="s">
        <v>172</v>
      </c>
      <c r="Y32" s="3">
        <f t="shared" si="1"/>
        <v>16</v>
      </c>
    </row>
    <row r="33" spans="2:25">
      <c r="B33" s="169" t="s">
        <v>222</v>
      </c>
      <c r="C33" s="170" t="s">
        <v>223</v>
      </c>
      <c r="D33" s="171">
        <v>44561</v>
      </c>
      <c r="E33" s="170" t="s">
        <v>171</v>
      </c>
      <c r="F33" s="172">
        <f>DATE(YEAR($F$10),12,31)</f>
        <v>44925</v>
      </c>
      <c r="G33" s="173">
        <f>HLOOKUP($G$9,$I$9:$X$33,25,0)</f>
        <v>0</v>
      </c>
      <c r="H33" s="155">
        <f t="shared" si="2"/>
        <v>1</v>
      </c>
      <c r="I33" s="159"/>
      <c r="J33" s="160"/>
      <c r="K33" s="161"/>
      <c r="L33" s="161"/>
      <c r="M33" s="161"/>
      <c r="N33" s="161"/>
      <c r="O33" s="161"/>
      <c r="P33" s="161"/>
      <c r="Q33" s="161"/>
      <c r="R33" s="161"/>
      <c r="S33" s="161"/>
      <c r="T33" s="161"/>
      <c r="U33" s="161"/>
      <c r="V33" s="161"/>
      <c r="W33" s="161"/>
      <c r="X33" s="161"/>
      <c r="Y33" s="3">
        <f t="shared" si="1"/>
        <v>0</v>
      </c>
    </row>
    <row r="34" spans="2:25">
      <c r="B34" s="154"/>
      <c r="C34" s="147"/>
      <c r="D34" s="156"/>
      <c r="F34" s="162"/>
      <c r="G34" s="164" t="str">
        <f>IF(F34="","","x")</f>
        <v/>
      </c>
      <c r="H34" s="192"/>
      <c r="I34" s="159"/>
      <c r="J34" s="160"/>
      <c r="K34" s="161"/>
      <c r="L34" s="161"/>
      <c r="M34" s="161"/>
      <c r="N34" s="161"/>
      <c r="O34" s="161"/>
      <c r="P34" s="161"/>
      <c r="Q34" s="161"/>
      <c r="R34" s="161"/>
      <c r="S34" s="161"/>
      <c r="T34" s="161"/>
      <c r="U34" s="161"/>
      <c r="V34" s="161"/>
      <c r="W34" s="161"/>
      <c r="X34" s="161"/>
    </row>
    <row r="35" spans="2:25">
      <c r="B35" s="158"/>
      <c r="D35" s="154"/>
      <c r="F35" s="193"/>
      <c r="G35" s="194"/>
      <c r="H35" s="192"/>
      <c r="I35" s="159"/>
      <c r="J35" s="159"/>
      <c r="K35" s="161"/>
      <c r="L35" s="161"/>
      <c r="M35" s="161"/>
      <c r="N35" s="161"/>
      <c r="O35" s="161"/>
      <c r="P35" s="161"/>
      <c r="Q35" s="161"/>
      <c r="R35" s="161"/>
      <c r="S35" s="161"/>
      <c r="T35" s="161"/>
      <c r="U35" s="161"/>
      <c r="V35" s="161"/>
      <c r="W35" s="161"/>
      <c r="X35" s="161"/>
    </row>
    <row r="36" spans="2:25">
      <c r="B36" s="165"/>
      <c r="C36" s="65"/>
      <c r="D36" s="65"/>
      <c r="E36" s="166" t="s">
        <v>224</v>
      </c>
      <c r="F36" s="167">
        <f>COUNTIF(G11:G33,"x")</f>
        <v>14</v>
      </c>
      <c r="G36" s="168"/>
      <c r="H36" s="195"/>
      <c r="I36" s="161">
        <f t="shared" ref="I36:X36" si="3">COUNTA(I11:I35)</f>
        <v>14</v>
      </c>
      <c r="J36" s="161">
        <f t="shared" si="3"/>
        <v>15</v>
      </c>
      <c r="K36" s="161">
        <f t="shared" si="3"/>
        <v>12</v>
      </c>
      <c r="L36" s="161">
        <f t="shared" si="3"/>
        <v>12</v>
      </c>
      <c r="M36" s="161">
        <f t="shared" si="3"/>
        <v>12</v>
      </c>
      <c r="N36" s="161">
        <f t="shared" si="3"/>
        <v>12</v>
      </c>
      <c r="O36" s="161">
        <f t="shared" si="3"/>
        <v>12</v>
      </c>
      <c r="P36" s="161">
        <f t="shared" si="3"/>
        <v>13</v>
      </c>
      <c r="Q36" s="161">
        <f t="shared" si="3"/>
        <v>12</v>
      </c>
      <c r="R36" s="161">
        <f t="shared" si="3"/>
        <v>13</v>
      </c>
      <c r="S36" s="161">
        <f t="shared" si="3"/>
        <v>13</v>
      </c>
      <c r="T36" s="161">
        <f t="shared" si="3"/>
        <v>14</v>
      </c>
      <c r="U36" s="161">
        <f t="shared" si="3"/>
        <v>14</v>
      </c>
      <c r="V36" s="161">
        <f t="shared" si="3"/>
        <v>13</v>
      </c>
      <c r="W36" s="161">
        <f t="shared" si="3"/>
        <v>12</v>
      </c>
      <c r="X36" s="161">
        <f t="shared" si="3"/>
        <v>14</v>
      </c>
    </row>
    <row r="37" spans="2:25">
      <c r="B37" s="65"/>
      <c r="C37" s="65"/>
      <c r="D37" s="65"/>
      <c r="E37" s="166" t="s">
        <v>225</v>
      </c>
      <c r="F37" s="167">
        <f>NETWORKDAYS.INTL(F11,F33,"0000011",H11:H33)</f>
        <v>252</v>
      </c>
      <c r="G37" s="168"/>
      <c r="H37" s="195"/>
      <c r="I37" s="161"/>
      <c r="J37" s="161"/>
      <c r="K37" s="161"/>
      <c r="L37" s="161"/>
      <c r="M37" s="161"/>
      <c r="N37" s="161"/>
      <c r="O37" s="161"/>
      <c r="P37" s="161"/>
      <c r="Q37" s="161"/>
      <c r="R37" s="161"/>
      <c r="S37" s="161"/>
      <c r="T37" s="161"/>
      <c r="U37" s="161"/>
      <c r="V37" s="161"/>
      <c r="W37" s="161"/>
      <c r="X37" s="161"/>
    </row>
    <row r="38" spans="2:25">
      <c r="F38" s="196"/>
      <c r="G38" s="194"/>
      <c r="H38" s="194"/>
      <c r="I38" s="197"/>
      <c r="J38" s="161"/>
      <c r="K38" s="161"/>
      <c r="L38" s="161"/>
      <c r="M38" s="161"/>
      <c r="N38" s="161"/>
      <c r="O38" s="161"/>
      <c r="P38" s="161"/>
      <c r="Q38" s="161"/>
      <c r="R38" s="161"/>
      <c r="S38" s="161"/>
      <c r="T38" s="161"/>
      <c r="U38" s="161"/>
      <c r="V38" s="161"/>
      <c r="W38" s="161"/>
      <c r="X38" s="161"/>
    </row>
    <row r="39" spans="2:25">
      <c r="G39" s="194"/>
      <c r="H39" s="194"/>
    </row>
    <row r="40" spans="2:25">
      <c r="G40" s="194"/>
      <c r="H40" s="194"/>
    </row>
    <row r="41" spans="2:25">
      <c r="G41" s="164"/>
      <c r="H41" s="194"/>
    </row>
    <row r="42" spans="2:25">
      <c r="G42" s="164"/>
      <c r="H42" s="194"/>
    </row>
    <row r="43" spans="2:25">
      <c r="G43" s="164"/>
    </row>
    <row r="44" spans="2:25">
      <c r="G44" s="164"/>
    </row>
    <row r="45" spans="2:25">
      <c r="G45" s="164"/>
    </row>
    <row r="46" spans="2:25">
      <c r="G46" s="164"/>
    </row>
    <row r="47" spans="2:25">
      <c r="G47" s="164"/>
    </row>
    <row r="48" spans="2:25">
      <c r="G48" s="164"/>
    </row>
    <row r="49" spans="7:7">
      <c r="G49" s="164"/>
    </row>
    <row r="50" spans="7:7">
      <c r="G50" s="164"/>
    </row>
    <row r="51" spans="7:7">
      <c r="G51" s="194"/>
    </row>
    <row r="52" spans="7:7">
      <c r="G52" s="194"/>
    </row>
    <row r="53" spans="7:7">
      <c r="G53" s="194"/>
    </row>
  </sheetData>
  <sheetProtection password="DEB9" sheet="1" selectLockedCells="1"/>
  <conditionalFormatting sqref="I36:X36">
    <cfRule type="colorScale" priority="7">
      <colorScale>
        <cfvo type="min"/>
        <cfvo type="max"/>
        <color theme="9" tint="0.59999389629810485"/>
        <color theme="9" tint="-0.249977111117893"/>
      </colorScale>
    </cfRule>
  </conditionalFormatting>
  <conditionalFormatting sqref="G11:G34">
    <cfRule type="cellIs" dxfId="5" priority="6" operator="equal">
      <formula>0</formula>
    </cfRule>
  </conditionalFormatting>
  <conditionalFormatting sqref="B11:G34">
    <cfRule type="expression" dxfId="4" priority="5">
      <formula>$G11="x"</formula>
    </cfRule>
  </conditionalFormatting>
  <conditionalFormatting sqref="G41">
    <cfRule type="cellIs" dxfId="3" priority="4" operator="equal">
      <formula>0</formula>
    </cfRule>
  </conditionalFormatting>
  <conditionalFormatting sqref="G41">
    <cfRule type="expression" dxfId="2" priority="3">
      <formula>$G41="x"</formula>
    </cfRule>
  </conditionalFormatting>
  <conditionalFormatting sqref="G42:G50">
    <cfRule type="cellIs" dxfId="1" priority="2" operator="equal">
      <formula>0</formula>
    </cfRule>
  </conditionalFormatting>
  <conditionalFormatting sqref="G42:G50">
    <cfRule type="expression" dxfId="0" priority="1">
      <formula>$G42="x"</formula>
    </cfRule>
  </conditionalFormatting>
  <dataValidations count="1">
    <dataValidation type="list" allowBlank="1" showInputMessage="1" showErrorMessage="1" errorTitle="Fehlerhafte Auswahl !" error="Bitte &quot;Abbrechen&quot; und Daten aus der Dropdown-Liste auswählen ..." sqref="D7">
      <formula1>$I$9:$X$9</formula1>
    </dataValidation>
  </dataValidations>
  <pageMargins left="0.7" right="0.7" top="0.78740157499999996" bottom="0.78740157499999996" header="0.3" footer="0.3"/>
  <pageSetup paperSize="9"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9</vt:i4>
      </vt:variant>
    </vt:vector>
  </HeadingPairs>
  <TitlesOfParts>
    <vt:vector size="14" baseType="lpstr">
      <vt:lpstr>Vorgaben</vt:lpstr>
      <vt:lpstr>Jan</vt:lpstr>
      <vt:lpstr>Feb</vt:lpstr>
      <vt:lpstr>Anwendungshilfe</vt:lpstr>
      <vt:lpstr>Feiertagsberechnung</vt:lpstr>
      <vt:lpstr>Drittens</vt:lpstr>
      <vt:lpstr>Feb!Druckbereich</vt:lpstr>
      <vt:lpstr>Jan!Druckbereich</vt:lpstr>
      <vt:lpstr>Vorgaben!Druckbereich</vt:lpstr>
      <vt:lpstr>Anwendungshilfe!Drucktitel</vt:lpstr>
      <vt:lpstr>Erstens</vt:lpstr>
      <vt:lpstr>Viertens</vt:lpstr>
      <vt:lpstr>Wochentag</vt:lpstr>
      <vt:lpstr>Zweitens</vt:lpstr>
    </vt:vector>
  </TitlesOfParts>
  <Company>Joachim Becker WebSolutions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Arbeitszeiterfassung monatlich</dc:title>
  <dc:subject>Arbeitszeiterfassung</dc:subject>
  <dc:creator>Joachim Becker</dc:creator>
  <cp:keywords>Arbeitszeiterfassung Monate Wochenplan Zeiterfassung</cp:keywords>
  <dc:description>Copyright by Joachim Becker WebSolutions
https://www.controllerspielwiese.de</dc:description>
  <cp:lastModifiedBy>ControllerSpielwiese</cp:lastModifiedBy>
  <cp:lastPrinted>2026-02-11T18:06:09Z</cp:lastPrinted>
  <dcterms:created xsi:type="dcterms:W3CDTF">2025-10-27T08:45:36Z</dcterms:created>
  <dcterms:modified xsi:type="dcterms:W3CDTF">2026-02-11T19:21:07Z</dcterms:modified>
  <cp:category>Arbeitszeiterfassung</cp:category>
</cp:coreProperties>
</file>