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210"/>
  </bookViews>
  <sheets>
    <sheet name="Analyse 12 Monate" sheetId="1" r:id="rId1"/>
    <sheet name="Analyse indiv"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 l="1"/>
  <c r="E32" i="1"/>
  <c r="F32" i="1"/>
  <c r="G32" i="1"/>
  <c r="H32" i="1"/>
  <c r="I32" i="1"/>
  <c r="J32" i="1"/>
  <c r="K32" i="1"/>
  <c r="L32" i="1"/>
  <c r="M32" i="1"/>
  <c r="N32" i="1"/>
  <c r="C32" i="1"/>
  <c r="D50" i="1" l="1"/>
  <c r="K36" i="1" l="1"/>
  <c r="L36" i="1"/>
  <c r="M36" i="1"/>
  <c r="N36" i="1"/>
  <c r="K35" i="1"/>
  <c r="L35" i="1"/>
  <c r="M35" i="1"/>
  <c r="N35" i="1"/>
  <c r="E28" i="1"/>
  <c r="F28" i="1"/>
  <c r="G28" i="1"/>
  <c r="H28" i="1"/>
  <c r="I28" i="1"/>
  <c r="J28" i="1"/>
  <c r="K28" i="1"/>
  <c r="L28" i="1"/>
  <c r="M28" i="1"/>
  <c r="N28" i="1"/>
  <c r="D28" i="1"/>
  <c r="E27" i="1"/>
  <c r="F27" i="1"/>
  <c r="G27" i="1"/>
  <c r="G42" i="1" s="1"/>
  <c r="H27" i="1"/>
  <c r="I27" i="1"/>
  <c r="J27" i="1"/>
  <c r="K27" i="1"/>
  <c r="L27" i="1"/>
  <c r="M27" i="1"/>
  <c r="N27" i="1"/>
  <c r="N30" i="1" s="1"/>
  <c r="D27" i="1"/>
  <c r="C27" i="1"/>
  <c r="C31" i="1" s="1"/>
  <c r="E50" i="1"/>
  <c r="F50" i="1"/>
  <c r="G50" i="1"/>
  <c r="H50" i="1"/>
  <c r="I50" i="1"/>
  <c r="J50" i="1"/>
  <c r="K50" i="1"/>
  <c r="L50" i="1"/>
  <c r="M50" i="1"/>
  <c r="N50" i="1"/>
  <c r="C50" i="1"/>
  <c r="L27" i="2"/>
  <c r="L28" i="2"/>
  <c r="L29" i="2"/>
  <c r="L30" i="2"/>
  <c r="L31" i="2"/>
  <c r="L32" i="2"/>
  <c r="L33" i="2"/>
  <c r="L34" i="2"/>
  <c r="L35" i="2"/>
  <c r="L36" i="2"/>
  <c r="L26" i="2"/>
  <c r="M42" i="1" l="1"/>
  <c r="M51" i="1" s="1"/>
  <c r="M30" i="1"/>
  <c r="E42" i="1"/>
  <c r="K42" i="1"/>
  <c r="K51" i="1" s="1"/>
  <c r="K30" i="1"/>
  <c r="C42" i="1"/>
  <c r="C51" i="1" s="1"/>
  <c r="D51" i="1" s="1"/>
  <c r="E51" i="1" s="1"/>
  <c r="F51" i="1" s="1"/>
  <c r="G51" i="1" s="1"/>
  <c r="C30" i="1"/>
  <c r="D30" i="1" s="1"/>
  <c r="E30" i="1" s="1"/>
  <c r="F30" i="1" s="1"/>
  <c r="G30" i="1" s="1"/>
  <c r="H30" i="1" s="1"/>
  <c r="I30" i="1" s="1"/>
  <c r="J30" i="1" s="1"/>
  <c r="D42" i="1"/>
  <c r="L34" i="1"/>
  <c r="L30" i="1"/>
  <c r="L42" i="1"/>
  <c r="L51" i="1" s="1"/>
  <c r="C29" i="1"/>
  <c r="D29" i="1" s="1"/>
  <c r="E29" i="1" s="1"/>
  <c r="F29" i="1" s="1"/>
  <c r="G29" i="1" s="1"/>
  <c r="H29" i="1" s="1"/>
  <c r="I29" i="1" s="1"/>
  <c r="J29" i="1" s="1"/>
  <c r="K29" i="1" s="1"/>
  <c r="L29" i="1" s="1"/>
  <c r="M29" i="1" s="1"/>
  <c r="N29" i="1" s="1"/>
  <c r="J42" i="1"/>
  <c r="I42" i="1"/>
  <c r="H42" i="1"/>
  <c r="N34" i="1"/>
  <c r="N42" i="1"/>
  <c r="N51" i="1" s="1"/>
  <c r="F42" i="1"/>
  <c r="M34" i="1"/>
  <c r="K34" i="1"/>
  <c r="C19" i="1"/>
  <c r="C20" i="1" s="1"/>
  <c r="B47" i="1" s="1"/>
  <c r="H51" i="1" l="1"/>
  <c r="I51" i="1" s="1"/>
  <c r="C21" i="1"/>
  <c r="C16" i="1"/>
  <c r="C12" i="1" l="1"/>
  <c r="D12" i="2" l="1"/>
  <c r="D16" i="2"/>
  <c r="N37" i="2" l="1"/>
  <c r="N38" i="2"/>
  <c r="N39" i="2"/>
  <c r="N40" i="2"/>
  <c r="N41" i="2"/>
  <c r="N42" i="2"/>
  <c r="N43" i="2"/>
  <c r="N44" i="2"/>
  <c r="N45" i="2"/>
  <c r="N46" i="2"/>
  <c r="N47" i="2"/>
  <c r="N48" i="2"/>
  <c r="N49" i="2"/>
  <c r="G31" i="2"/>
  <c r="G32" i="2"/>
  <c r="G33" i="2"/>
  <c r="G34" i="2"/>
  <c r="G35" i="2"/>
  <c r="G36" i="2"/>
  <c r="G37" i="2"/>
  <c r="G38" i="2"/>
  <c r="G39" i="2"/>
  <c r="G40" i="2"/>
  <c r="G41" i="2"/>
  <c r="G42" i="2"/>
  <c r="G43" i="2"/>
  <c r="G44" i="2"/>
  <c r="G45" i="2"/>
  <c r="G46" i="2"/>
  <c r="G47" i="2"/>
  <c r="G48" i="2"/>
  <c r="G49" i="2"/>
  <c r="G27" i="2"/>
  <c r="G28" i="2"/>
  <c r="G29" i="2"/>
  <c r="G30" i="2"/>
  <c r="G26" i="2"/>
  <c r="F29" i="2"/>
  <c r="K29" i="2" s="1"/>
  <c r="I29" i="2"/>
  <c r="F30" i="2"/>
  <c r="F31" i="2"/>
  <c r="F32" i="2"/>
  <c r="K32" i="2" s="1"/>
  <c r="F33" i="2"/>
  <c r="F34" i="2"/>
  <c r="F35" i="2"/>
  <c r="F36" i="2"/>
  <c r="F37" i="2"/>
  <c r="H37" i="2" s="1"/>
  <c r="I37" i="2"/>
  <c r="K37" i="2"/>
  <c r="L37" i="2"/>
  <c r="F38" i="2"/>
  <c r="H38" i="2"/>
  <c r="I38" i="2"/>
  <c r="K38" i="2"/>
  <c r="L38" i="2"/>
  <c r="F39" i="2"/>
  <c r="H39" i="2" s="1"/>
  <c r="I39" i="2"/>
  <c r="K39" i="2"/>
  <c r="L39" i="2"/>
  <c r="F40" i="2"/>
  <c r="H40" i="2" s="1"/>
  <c r="I40" i="2"/>
  <c r="K40" i="2"/>
  <c r="L40" i="2"/>
  <c r="F41" i="2"/>
  <c r="H41" i="2" s="1"/>
  <c r="I41" i="2"/>
  <c r="K41" i="2"/>
  <c r="L41" i="2"/>
  <c r="F42" i="2"/>
  <c r="H42" i="2" s="1"/>
  <c r="I42" i="2"/>
  <c r="K42" i="2"/>
  <c r="L42" i="2"/>
  <c r="F43" i="2"/>
  <c r="H43" i="2" s="1"/>
  <c r="I43" i="2"/>
  <c r="K43" i="2"/>
  <c r="L43" i="2"/>
  <c r="F44" i="2"/>
  <c r="H44" i="2" s="1"/>
  <c r="I44" i="2"/>
  <c r="K44" i="2"/>
  <c r="L44" i="2"/>
  <c r="F45" i="2"/>
  <c r="H45" i="2" s="1"/>
  <c r="I45" i="2"/>
  <c r="K45" i="2"/>
  <c r="L45" i="2"/>
  <c r="F46" i="2"/>
  <c r="H46" i="2" s="1"/>
  <c r="I46" i="2"/>
  <c r="K46" i="2"/>
  <c r="L46" i="2"/>
  <c r="F47" i="2"/>
  <c r="H47" i="2" s="1"/>
  <c r="I47" i="2"/>
  <c r="K47" i="2"/>
  <c r="L47" i="2"/>
  <c r="F48" i="2"/>
  <c r="H48" i="2" s="1"/>
  <c r="I48" i="2"/>
  <c r="K48" i="2"/>
  <c r="L48" i="2"/>
  <c r="F49" i="2"/>
  <c r="H49" i="2" s="1"/>
  <c r="I49" i="2"/>
  <c r="K49" i="2"/>
  <c r="L49" i="2"/>
  <c r="M37" i="2"/>
  <c r="M38" i="2"/>
  <c r="M39" i="2"/>
  <c r="M40" i="2"/>
  <c r="M41" i="2"/>
  <c r="M42" i="2"/>
  <c r="M43" i="2"/>
  <c r="M44" i="2"/>
  <c r="M45" i="2"/>
  <c r="M46" i="2"/>
  <c r="M47" i="2"/>
  <c r="M48" i="2"/>
  <c r="M49" i="2"/>
  <c r="F27" i="2"/>
  <c r="K27" i="2" s="1"/>
  <c r="F28" i="2"/>
  <c r="K28" i="2" s="1"/>
  <c r="D30" i="2"/>
  <c r="I30" i="2" s="1"/>
  <c r="D31" i="2"/>
  <c r="I31" i="2" s="1"/>
  <c r="D32" i="2"/>
  <c r="I32" i="2" s="1"/>
  <c r="D33" i="2"/>
  <c r="I33" i="2" s="1"/>
  <c r="D34" i="2"/>
  <c r="I34" i="2" s="1"/>
  <c r="D35" i="2"/>
  <c r="I35" i="2" s="1"/>
  <c r="D36" i="2"/>
  <c r="I36" i="2" s="1"/>
  <c r="D37" i="2"/>
  <c r="D38" i="2"/>
  <c r="D39" i="2"/>
  <c r="D40" i="2"/>
  <c r="D41" i="2"/>
  <c r="D42" i="2"/>
  <c r="D43" i="2"/>
  <c r="D44" i="2"/>
  <c r="D45" i="2"/>
  <c r="D46" i="2"/>
  <c r="D47" i="2"/>
  <c r="D48" i="2"/>
  <c r="D49" i="2"/>
  <c r="D27" i="2"/>
  <c r="I27" i="2" s="1"/>
  <c r="D28" i="2"/>
  <c r="I28" i="2" s="1"/>
  <c r="D29" i="2"/>
  <c r="E25" i="2"/>
  <c r="F26" i="2" s="1"/>
  <c r="C25" i="2"/>
  <c r="D26" i="2" s="1"/>
  <c r="I26" i="2" s="1"/>
  <c r="B26" i="2"/>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D19" i="2"/>
  <c r="D21" i="2"/>
  <c r="D15" i="2"/>
  <c r="H33" i="2" l="1"/>
  <c r="H36" i="2"/>
  <c r="H35" i="2"/>
  <c r="H31" i="2"/>
  <c r="H34" i="2"/>
  <c r="K33" i="2"/>
  <c r="H30" i="2"/>
  <c r="K34" i="2"/>
  <c r="K36" i="2"/>
  <c r="K35" i="2"/>
  <c r="H32" i="2"/>
  <c r="K31" i="2"/>
  <c r="H29" i="2"/>
  <c r="K30" i="2"/>
  <c r="K26" i="2"/>
  <c r="H26" i="2"/>
  <c r="H27" i="2"/>
  <c r="H28" i="2"/>
  <c r="C28" i="1"/>
  <c r="N26" i="2" l="1"/>
  <c r="M26" i="2"/>
  <c r="M27" i="2" s="1"/>
  <c r="N27" i="2" l="1"/>
  <c r="N28" i="2"/>
  <c r="M28" i="2"/>
  <c r="C24" i="1"/>
  <c r="D24" i="1" s="1"/>
  <c r="B24" i="1"/>
  <c r="K33" i="1"/>
  <c r="K37" i="1" s="1"/>
  <c r="K39" i="1" s="1"/>
  <c r="L33" i="1"/>
  <c r="L38" i="1" s="1"/>
  <c r="M33" i="1"/>
  <c r="N33" i="1"/>
  <c r="C15" i="1"/>
  <c r="C35" i="1" l="1"/>
  <c r="E36" i="1"/>
  <c r="I35" i="1"/>
  <c r="G36" i="1"/>
  <c r="D35" i="1"/>
  <c r="I36" i="1"/>
  <c r="H35" i="1"/>
  <c r="F36" i="1"/>
  <c r="J35" i="1"/>
  <c r="C36" i="1"/>
  <c r="H36" i="1"/>
  <c r="E35" i="1"/>
  <c r="J36" i="1"/>
  <c r="F35" i="1"/>
  <c r="G35" i="1"/>
  <c r="D36" i="1"/>
  <c r="E24" i="1"/>
  <c r="D31" i="1"/>
  <c r="N45" i="1"/>
  <c r="N43" i="1"/>
  <c r="N44" i="1" s="1"/>
  <c r="N38" i="1"/>
  <c r="N37" i="1"/>
  <c r="N39" i="1" s="1"/>
  <c r="M45" i="1"/>
  <c r="M43" i="1"/>
  <c r="M44" i="1" s="1"/>
  <c r="M38" i="1"/>
  <c r="M37" i="1"/>
  <c r="M39" i="1" s="1"/>
  <c r="L43" i="1"/>
  <c r="L44" i="1" s="1"/>
  <c r="L45" i="1"/>
  <c r="L37" i="1"/>
  <c r="L39" i="1" s="1"/>
  <c r="K43" i="1"/>
  <c r="K44" i="1" s="1"/>
  <c r="K45" i="1"/>
  <c r="K38" i="1"/>
  <c r="E33" i="1"/>
  <c r="E34" i="1"/>
  <c r="F33" i="1"/>
  <c r="F34" i="1"/>
  <c r="D33" i="1"/>
  <c r="D34" i="1"/>
  <c r="J34" i="1"/>
  <c r="J33" i="1"/>
  <c r="I33" i="1"/>
  <c r="I34" i="1"/>
  <c r="H34" i="1"/>
  <c r="H33" i="1"/>
  <c r="C33" i="1"/>
  <c r="C34" i="1"/>
  <c r="G33" i="1"/>
  <c r="G34" i="1"/>
  <c r="M29" i="2"/>
  <c r="N29" i="2"/>
  <c r="F24" i="1" l="1"/>
  <c r="E31" i="1"/>
  <c r="I45" i="1"/>
  <c r="I43" i="1"/>
  <c r="I44" i="1" s="1"/>
  <c r="J43" i="1"/>
  <c r="J44" i="1" s="1"/>
  <c r="J45" i="1"/>
  <c r="F43" i="1"/>
  <c r="F44" i="1" s="1"/>
  <c r="F45" i="1"/>
  <c r="G43" i="1"/>
  <c r="G44" i="1" s="1"/>
  <c r="G45" i="1"/>
  <c r="E45" i="1"/>
  <c r="E43" i="1"/>
  <c r="E44" i="1" s="1"/>
  <c r="H45" i="1"/>
  <c r="H43" i="1"/>
  <c r="H44" i="1" s="1"/>
  <c r="C45" i="1"/>
  <c r="C52" i="1" s="1"/>
  <c r="C37" i="1"/>
  <c r="C39" i="1" s="1"/>
  <c r="C43" i="1"/>
  <c r="C44" i="1" s="1"/>
  <c r="D43" i="1"/>
  <c r="D44" i="1" s="1"/>
  <c r="D45" i="1"/>
  <c r="M47" i="1"/>
  <c r="M46" i="1"/>
  <c r="N47" i="1"/>
  <c r="N46" i="1"/>
  <c r="K47" i="1"/>
  <c r="K46" i="1"/>
  <c r="L47" i="1"/>
  <c r="L46" i="1"/>
  <c r="C38" i="1"/>
  <c r="D37" i="1"/>
  <c r="D38" i="1"/>
  <c r="F37" i="1"/>
  <c r="F38" i="1"/>
  <c r="J37" i="1"/>
  <c r="J38" i="1"/>
  <c r="G37" i="1"/>
  <c r="G38" i="1"/>
  <c r="H37" i="1"/>
  <c r="H38" i="1"/>
  <c r="I37" i="1"/>
  <c r="I38" i="1"/>
  <c r="E37" i="1"/>
  <c r="E38" i="1"/>
  <c r="M30" i="2"/>
  <c r="N30" i="2"/>
  <c r="J51" i="1"/>
  <c r="D39" i="1" l="1"/>
  <c r="G24" i="1"/>
  <c r="F31" i="1"/>
  <c r="D52" i="1"/>
  <c r="E52" i="1" s="1"/>
  <c r="F52" i="1" s="1"/>
  <c r="G52" i="1" s="1"/>
  <c r="H52" i="1" s="1"/>
  <c r="I52" i="1" s="1"/>
  <c r="J52" i="1" s="1"/>
  <c r="K52" i="1" s="1"/>
  <c r="L52" i="1" s="1"/>
  <c r="M52" i="1" s="1"/>
  <c r="N52" i="1" s="1"/>
  <c r="E39" i="1"/>
  <c r="F39" i="1" s="1"/>
  <c r="G39" i="1" s="1"/>
  <c r="H39" i="1" s="1"/>
  <c r="I39" i="1" s="1"/>
  <c r="J39" i="1" s="1"/>
  <c r="G47" i="1"/>
  <c r="G46" i="1"/>
  <c r="E47" i="1"/>
  <c r="E46" i="1"/>
  <c r="I46" i="1"/>
  <c r="I47" i="1"/>
  <c r="J47" i="1"/>
  <c r="J46" i="1"/>
  <c r="F46" i="1"/>
  <c r="F47" i="1"/>
  <c r="H47" i="1"/>
  <c r="H46" i="1"/>
  <c r="D46" i="1"/>
  <c r="D47" i="1"/>
  <c r="C47" i="1"/>
  <c r="C53" i="1" s="1"/>
  <c r="D53" i="1" s="1"/>
  <c r="E53" i="1" s="1"/>
  <c r="C46" i="1"/>
  <c r="M31" i="2"/>
  <c r="N31" i="2"/>
  <c r="H24" i="1" l="1"/>
  <c r="G31" i="1"/>
  <c r="F53" i="1"/>
  <c r="G53" i="1" s="1"/>
  <c r="H53" i="1" s="1"/>
  <c r="I53" i="1" s="1"/>
  <c r="J53" i="1" s="1"/>
  <c r="M32" i="2"/>
  <c r="N32" i="2"/>
  <c r="I24" i="1" l="1"/>
  <c r="H31" i="1"/>
  <c r="K53" i="1"/>
  <c r="L53" i="1" s="1"/>
  <c r="M53" i="1" s="1"/>
  <c r="N53" i="1" s="1"/>
  <c r="M33" i="2"/>
  <c r="N33" i="2"/>
  <c r="J24" i="1" l="1"/>
  <c r="I31" i="1"/>
  <c r="G3" i="1"/>
  <c r="M34" i="2"/>
  <c r="N34" i="2"/>
  <c r="K24" i="1" l="1"/>
  <c r="L24" i="1" s="1"/>
  <c r="M24" i="1" s="1"/>
  <c r="N24" i="1" s="1"/>
  <c r="J31" i="1"/>
  <c r="N35" i="2"/>
  <c r="M35" i="2"/>
  <c r="K31" i="1" l="1"/>
  <c r="L31" i="1" s="1"/>
  <c r="M31" i="1" s="1"/>
  <c r="N31" i="1" s="1"/>
  <c r="G2" i="1" s="1"/>
  <c r="N36" i="2"/>
  <c r="M36" i="2"/>
</calcChain>
</file>

<file path=xl/comments1.xml><?xml version="1.0" encoding="utf-8"?>
<comments xmlns="http://schemas.openxmlformats.org/spreadsheetml/2006/main">
  <authors>
    <author>ControllerSpielwiese</author>
  </authors>
  <commentList>
    <comment ref="B31" authorId="0" shapeId="0">
      <text>
        <r>
          <rPr>
            <b/>
            <sz val="9"/>
            <color indexed="81"/>
            <rFont val="Segoe UI"/>
            <family val="2"/>
          </rPr>
          <t>ControllerSpielwiese:</t>
        </r>
        <r>
          <rPr>
            <sz val="9"/>
            <color indexed="81"/>
            <rFont val="Segoe UI"/>
            <family val="2"/>
          </rPr>
          <t xml:space="preserve">
Der Durchschnittsverbrauch wird anhand der Ist-Werte für ggfs. noch ausstehende Monatswerte berechnet.</t>
        </r>
      </text>
    </comment>
    <comment ref="B47" authorId="0" shapeId="0">
      <text>
        <r>
          <rPr>
            <b/>
            <sz val="9"/>
            <color indexed="81"/>
            <rFont val="Segoe UI"/>
            <family val="2"/>
          </rPr>
          <t>ControllerSpielwiese:</t>
        </r>
        <r>
          <rPr>
            <sz val="9"/>
            <color indexed="81"/>
            <rFont val="Segoe UI"/>
            <family val="2"/>
          </rPr>
          <t xml:space="preserve">
Differenz Ist-Kosten zu Abschlag. Ist der monatliche Abschlag höher als die tatsächlichen Kosten wird ein Guthaben ausgewiesen.</t>
        </r>
      </text>
    </comment>
    <comment ref="B50" authorId="0" shapeId="0">
      <text>
        <r>
          <rPr>
            <b/>
            <sz val="9"/>
            <color indexed="81"/>
            <rFont val="Segoe UI"/>
            <family val="2"/>
          </rPr>
          <t>ControllerSpielwiese:</t>
        </r>
        <r>
          <rPr>
            <sz val="9"/>
            <color indexed="81"/>
            <rFont val="Segoe UI"/>
            <family val="2"/>
          </rPr>
          <t xml:space="preserve">
Anteilig aus dem in den Vertragsdaten vorgegebenen jährlich erwarteten Verbrauch.</t>
        </r>
      </text>
    </comment>
  </commentList>
</comments>
</file>

<file path=xl/comments2.xml><?xml version="1.0" encoding="utf-8"?>
<comments xmlns="http://schemas.openxmlformats.org/spreadsheetml/2006/main">
  <authors>
    <author>ControllerSpielwiese</author>
  </authors>
  <commentList>
    <comment ref="I24" authorId="0" shapeId="0">
      <text>
        <r>
          <rPr>
            <b/>
            <sz val="9"/>
            <color indexed="81"/>
            <rFont val="Segoe UI"/>
            <family val="2"/>
          </rPr>
          <t>ControllerSpielwiese:</t>
        </r>
        <r>
          <rPr>
            <sz val="9"/>
            <color indexed="81"/>
            <rFont val="Segoe UI"/>
            <family val="2"/>
          </rPr>
          <t xml:space="preserve">
Die Kosten für den Grundpreis/Monat werden anhand der berechneten Differnenz-Tage errechnet. Dies kann dazu führen, dass die Summe von 12 Monaten nicht ganz mit dem Grundpreis/Jahr übereinstimmt.</t>
        </r>
      </text>
    </comment>
  </commentList>
</comments>
</file>

<file path=xl/sharedStrings.xml><?xml version="1.0" encoding="utf-8"?>
<sst xmlns="http://schemas.openxmlformats.org/spreadsheetml/2006/main" count="92" uniqueCount="70">
  <si>
    <t>Daten zum Vertrag:</t>
  </si>
  <si>
    <t>Vertragsbeginn:</t>
  </si>
  <si>
    <t>Vertragsende:</t>
  </si>
  <si>
    <t>Grundpreis pro Jahr:</t>
  </si>
  <si>
    <t>Grundpreis pro Tag:</t>
  </si>
  <si>
    <t>Währung</t>
  </si>
  <si>
    <t>EUR</t>
  </si>
  <si>
    <t>Arbeitspreis pro kWh:</t>
  </si>
  <si>
    <t>Grundpreis pro Monat:</t>
  </si>
  <si>
    <t>IST-Datenerfassung:</t>
  </si>
  <si>
    <t>Jahr</t>
  </si>
  <si>
    <t>Ablesedatum:</t>
  </si>
  <si>
    <t>Zählerstand:</t>
  </si>
  <si>
    <t>Monatlicher Abschlag:</t>
  </si>
  <si>
    <t>Erwarteter jährl. Verbrauch:</t>
  </si>
  <si>
    <t xml:space="preserve">Erwartete jährl. Kosten: </t>
  </si>
  <si>
    <t>Kosten in EUR</t>
  </si>
  <si>
    <t>Diff. Verbrauch in kWh:</t>
  </si>
  <si>
    <t>Vergleich Soll-IST je Monat</t>
  </si>
  <si>
    <t>Vergleich Soll-IST kumuliert</t>
  </si>
  <si>
    <t>IST-Kosten kumuliert:</t>
  </si>
  <si>
    <t>Verbrauch in kWh kumuliert:</t>
  </si>
  <si>
    <t>Verbrauch in kWh/Monat:</t>
  </si>
  <si>
    <t>Stromverbrauchsanalyse für 12 Monate</t>
  </si>
  <si>
    <r>
      <rPr>
        <sz val="11"/>
        <color theme="1"/>
        <rFont val="Symbol"/>
        <family val="1"/>
        <charset val="2"/>
      </rPr>
      <t>S</t>
    </r>
    <r>
      <rPr>
        <sz val="11"/>
        <color theme="1"/>
        <rFont val="Calibri"/>
        <family val="2"/>
        <scheme val="minor"/>
      </rPr>
      <t xml:space="preserve"> Zahlungen jährlich:</t>
    </r>
  </si>
  <si>
    <t>Position</t>
  </si>
  <si>
    <t>Ablesedatum</t>
  </si>
  <si>
    <t>Differenz Tage</t>
  </si>
  <si>
    <t>Verbrauch</t>
  </si>
  <si>
    <t>Diff. Verbrauch</t>
  </si>
  <si>
    <t>Kosten</t>
  </si>
  <si>
    <t>Kost. Arbeitspreis</t>
  </si>
  <si>
    <t>Gesamtko. Monat</t>
  </si>
  <si>
    <t>Gesamtko. kumul.</t>
  </si>
  <si>
    <t>Gesamtkosten kumuliert in EUR</t>
  </si>
  <si>
    <t>Datenlinie</t>
  </si>
  <si>
    <t>Ablesung</t>
  </si>
  <si>
    <t>Analyseverlauf:</t>
  </si>
  <si>
    <t>Versorger:</t>
  </si>
  <si>
    <t>Energie AG Biostrom 3 +</t>
  </si>
  <si>
    <t>Halle 3, rechte Wand</t>
  </si>
  <si>
    <t>Halle 3, re. Wand</t>
  </si>
  <si>
    <t>EnergieAG Biostrom</t>
  </si>
  <si>
    <t>Zähler-Nummer:</t>
  </si>
  <si>
    <t>Vertragslaufzeit in Tagen:</t>
  </si>
  <si>
    <t>Anfangs-Zählerstand:</t>
  </si>
  <si>
    <t>kum. Diff. Verbrauch in kWh:</t>
  </si>
  <si>
    <t>kum. Diff. Verbrauchspreis:</t>
  </si>
  <si>
    <t>Ort/Raum des Zählers:</t>
  </si>
  <si>
    <t>Verbrauch in kWh je Monat</t>
  </si>
  <si>
    <t>Kost. Grundpreis</t>
  </si>
  <si>
    <t>Verbrauch/Tag</t>
  </si>
  <si>
    <t>Verbrauchskosten/Monat:</t>
  </si>
  <si>
    <t>IST-Kosten/Monat:</t>
  </si>
  <si>
    <t>Grundpreis/Monat:</t>
  </si>
  <si>
    <t>Verbrauch in kWh/Monat für Grafik</t>
  </si>
  <si>
    <t>Verbrauchskosten/Monat für Grafik</t>
  </si>
  <si>
    <t>Grundpreis/Monat für Grafik</t>
  </si>
  <si>
    <t>IST-Kosten/Monat für Grafik</t>
  </si>
  <si>
    <r>
      <t xml:space="preserve">Verbrauch in kWh  //  </t>
    </r>
    <r>
      <rPr>
        <b/>
        <sz val="11"/>
        <color theme="5" tint="-0.249977111117893"/>
        <rFont val="Calibri"/>
        <family val="2"/>
        <scheme val="minor"/>
      </rPr>
      <t>PLAN</t>
    </r>
    <r>
      <rPr>
        <b/>
        <sz val="11"/>
        <color theme="1"/>
        <rFont val="Calibri"/>
        <family val="2"/>
        <scheme val="minor"/>
      </rPr>
      <t>-</t>
    </r>
    <r>
      <rPr>
        <b/>
        <sz val="11"/>
        <color theme="9" tint="-0.499984740745262"/>
        <rFont val="Calibri"/>
        <family val="2"/>
        <scheme val="minor"/>
      </rPr>
      <t>IST</t>
    </r>
    <r>
      <rPr>
        <b/>
        <sz val="11"/>
        <color theme="1"/>
        <rFont val="Calibri"/>
        <family val="2"/>
        <scheme val="minor"/>
      </rPr>
      <t>-Vergleich</t>
    </r>
  </si>
  <si>
    <t>Durchschnittsverbrauch:</t>
  </si>
  <si>
    <t>kum. Durchschnittsverbrauch:</t>
  </si>
  <si>
    <t>IST-Verbrauchskosten:</t>
  </si>
  <si>
    <t>SOLL-Verbrauchskosten:</t>
  </si>
  <si>
    <t>Diff. Verbrauchskosten:</t>
  </si>
  <si>
    <t>Gesamte IST-Kosten:</t>
  </si>
  <si>
    <t>kum. Diff. zum Abschlag:</t>
  </si>
  <si>
    <t>Geplanter Verbrauch in kWh:</t>
  </si>
  <si>
    <t>Stromverbrauchsanalyse - individuelle Ablesetermine</t>
  </si>
  <si>
    <t xml:space="preserve">oben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</si>
</sst>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0.00\ &quot;€&quot;;[Red]\-#,##0.00\ &quot;€&quot;"/>
    <numFmt numFmtId="164" formatCode="#,##0.000\ &quot;€&quot;;[Red]\-#,##0.000\ &quot;€&quot;"/>
    <numFmt numFmtId="165" formatCode="#,##0\ &quot;kWh&quot;"/>
    <numFmt numFmtId="166" formatCode="#,##0.0000\ &quot;€&quot;;[Red]\-#,##0.0000\ &quot;€&quot;"/>
    <numFmt numFmtId="167" formatCode="#,##0.00\ &quot;kWh&quot;"/>
    <numFmt numFmtId="168" formatCode="#,##0\ &quot;kWh&quot;\ \ \ "/>
    <numFmt numFmtId="169" formatCode="dd/mm/yyyy\ \ \ "/>
    <numFmt numFmtId="170" formatCode="0\ \ \ "/>
    <numFmt numFmtId="171" formatCode="#,##0.00\ &quot;€&quot;\ \ \ ;[Red]\-#,##0.00\ &quot;€&quot;\ \ \ "/>
    <numFmt numFmtId="172" formatCode="#,##0.0000\ &quot;€&quot;\ \ \ ;[Red]\-#,##0.0000\ &quot;€&quot;\ \ \ "/>
    <numFmt numFmtId="173" formatCode="#,##0.00\ &quot;€&quot;;[Color10]\-#,##0.00\ &quot;€&quot;"/>
  </numFmts>
  <fonts count="22" x14ac:knownFonts="1">
    <font>
      <sz val="11"/>
      <color theme="1"/>
      <name val="Arial"/>
      <family val="2"/>
    </font>
    <font>
      <b/>
      <sz val="20"/>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b/>
      <sz val="12"/>
      <color theme="1"/>
      <name val="Calibri"/>
      <family val="2"/>
      <scheme val="minor"/>
    </font>
    <font>
      <b/>
      <sz val="11"/>
      <name val="Calibri"/>
      <family val="2"/>
      <scheme val="minor"/>
    </font>
    <font>
      <sz val="11"/>
      <name val="Calibri"/>
      <family val="2"/>
      <scheme val="minor"/>
    </font>
    <font>
      <sz val="11"/>
      <color theme="1"/>
      <name val="Symbol"/>
      <family val="1"/>
      <charset val="2"/>
    </font>
    <font>
      <sz val="11"/>
      <color theme="0"/>
      <name val="Calibri"/>
      <family val="2"/>
      <scheme val="minor"/>
    </font>
    <font>
      <sz val="9"/>
      <color indexed="81"/>
      <name val="Segoe UI"/>
      <family val="2"/>
    </font>
    <font>
      <b/>
      <sz val="9"/>
      <color indexed="81"/>
      <name val="Segoe UI"/>
      <family val="2"/>
    </font>
    <font>
      <i/>
      <sz val="11"/>
      <color theme="1" tint="0.499984740745262"/>
      <name val="Calibri"/>
      <family val="2"/>
      <scheme val="minor"/>
    </font>
    <font>
      <i/>
      <sz val="9"/>
      <color theme="9" tint="-0.499984740745262"/>
      <name val="Calibri"/>
      <family val="2"/>
      <scheme val="minor"/>
    </font>
    <font>
      <i/>
      <sz val="9"/>
      <color theme="7"/>
      <name val="Calibri"/>
      <family val="2"/>
      <scheme val="minor"/>
    </font>
    <font>
      <i/>
      <sz val="9"/>
      <color theme="8"/>
      <name val="Calibri"/>
      <family val="2"/>
      <scheme val="minor"/>
    </font>
    <font>
      <i/>
      <sz val="9"/>
      <color theme="9" tint="-0.249977111117893"/>
      <name val="Calibri"/>
      <family val="2"/>
      <scheme val="minor"/>
    </font>
    <font>
      <b/>
      <sz val="11"/>
      <color theme="5" tint="-0.249977111117893"/>
      <name val="Calibri"/>
      <family val="2"/>
      <scheme val="minor"/>
    </font>
    <font>
      <b/>
      <sz val="11"/>
      <color theme="9" tint="-0.499984740745262"/>
      <name val="Calibri"/>
      <family val="2"/>
      <scheme val="minor"/>
    </font>
    <font>
      <sz val="11"/>
      <color theme="9" tint="0.39997558519241921"/>
      <name val="Arial"/>
      <family val="2"/>
    </font>
    <font>
      <sz val="11"/>
      <color theme="9" tint="0.39997558519241921"/>
      <name val="Calibri"/>
      <family val="2"/>
      <scheme val="minor"/>
    </font>
    <font>
      <b/>
      <sz val="11"/>
      <color theme="9" tint="-0.499984740745262"/>
      <name val="Calibri"/>
      <family val="2"/>
    </font>
  </fonts>
  <fills count="5">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16">
    <border>
      <left/>
      <right/>
      <top/>
      <bottom/>
      <diagonal/>
    </border>
    <border>
      <left/>
      <right style="thick">
        <color theme="9" tint="0.79995117038483843"/>
      </right>
      <top/>
      <bottom/>
      <diagonal/>
    </border>
    <border>
      <left/>
      <right style="thick">
        <color theme="0"/>
      </right>
      <top/>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diagonalUp="1" diagonalDown="1">
      <left style="thin">
        <color theme="9" tint="0.79998168889431442"/>
      </left>
      <right style="thin">
        <color theme="9" tint="0.79998168889431442"/>
      </right>
      <top style="thin">
        <color theme="9" tint="0.79998168889431442"/>
      </top>
      <bottom style="thin">
        <color theme="9" tint="0.79998168889431442"/>
      </bottom>
      <diagonal style="thin">
        <color theme="9" tint="0.59996337778862885"/>
      </diagonal>
    </border>
    <border>
      <left style="thick">
        <color theme="0"/>
      </left>
      <right/>
      <top/>
      <bottom/>
      <diagonal/>
    </border>
    <border>
      <left/>
      <right/>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style="thick">
        <color theme="9" tint="0.79998168889431442"/>
      </right>
      <top/>
      <bottom/>
      <diagonal/>
    </border>
    <border>
      <left style="medium">
        <color theme="0"/>
      </left>
      <right/>
      <top/>
      <bottom/>
      <diagonal/>
    </border>
    <border>
      <left/>
      <right style="medium">
        <color theme="0"/>
      </right>
      <top/>
      <bottom/>
      <diagonal/>
    </border>
    <border>
      <left style="medium">
        <color theme="0"/>
      </left>
      <right/>
      <top/>
      <bottom style="thin">
        <color theme="9" tint="0.79998168889431442"/>
      </bottom>
      <diagonal/>
    </border>
    <border>
      <left/>
      <right style="medium">
        <color theme="0"/>
      </right>
      <top/>
      <bottom style="thin">
        <color theme="9" tint="0.79998168889431442"/>
      </bottom>
      <diagonal/>
    </border>
    <border>
      <left style="thin">
        <color theme="9" tint="0.79998168889431442"/>
      </left>
      <right style="medium">
        <color theme="0"/>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s>
  <cellStyleXfs count="3">
    <xf numFmtId="0" fontId="0" fillId="0" borderId="0"/>
    <xf numFmtId="0" fontId="21" fillId="0" borderId="0" applyNumberFormat="0" applyFill="0" applyBorder="0" applyAlignment="0" applyProtection="0"/>
    <xf numFmtId="2" fontId="21" fillId="0" borderId="0" applyFill="0" applyBorder="0" applyAlignment="0" applyProtection="0"/>
  </cellStyleXfs>
  <cellXfs count="103">
    <xf numFmtId="0" fontId="0" fillId="0" borderId="0" xfId="0"/>
    <xf numFmtId="0" fontId="0" fillId="0" borderId="0" xfId="0" applyProtection="1">
      <protection locked="0"/>
    </xf>
    <xf numFmtId="0" fontId="2" fillId="2" borderId="0" xfId="0" applyFont="1" applyFill="1" applyProtection="1">
      <protection locked="0"/>
    </xf>
    <xf numFmtId="0" fontId="2" fillId="2" borderId="0" xfId="0" applyFont="1" applyFill="1" applyAlignment="1" applyProtection="1">
      <alignment horizontal="left"/>
      <protection locked="0"/>
    </xf>
    <xf numFmtId="0" fontId="0" fillId="0" borderId="0" xfId="0" applyProtection="1"/>
    <xf numFmtId="0" fontId="1" fillId="2" borderId="0" xfId="0" applyFont="1" applyFill="1" applyBorder="1" applyProtection="1"/>
    <xf numFmtId="0" fontId="0" fillId="2" borderId="0" xfId="0" applyFill="1" applyProtection="1"/>
    <xf numFmtId="0" fontId="2" fillId="2" borderId="0" xfId="0" applyFont="1" applyFill="1" applyProtection="1"/>
    <xf numFmtId="0" fontId="3" fillId="2" borderId="0" xfId="0" applyFont="1" applyFill="1" applyProtection="1"/>
    <xf numFmtId="0" fontId="2" fillId="2" borderId="0" xfId="0" applyFont="1" applyFill="1" applyAlignment="1" applyProtection="1">
      <alignment horizontal="right"/>
    </xf>
    <xf numFmtId="14" fontId="3" fillId="0" borderId="3" xfId="0" applyNumberFormat="1" applyFont="1" applyFill="1" applyBorder="1" applyAlignment="1" applyProtection="1">
      <alignment horizontal="center"/>
      <protection locked="0"/>
    </xf>
    <xf numFmtId="165" fontId="3" fillId="0" borderId="3" xfId="0" applyNumberFormat="1" applyFont="1" applyFill="1" applyBorder="1" applyAlignment="1" applyProtection="1">
      <alignment horizontal="center"/>
      <protection locked="0"/>
    </xf>
    <xf numFmtId="0" fontId="2" fillId="2" borderId="0" xfId="0" applyFont="1" applyFill="1" applyAlignment="1" applyProtection="1">
      <alignment horizontal="left"/>
    </xf>
    <xf numFmtId="0" fontId="5" fillId="4" borderId="0" xfId="0" applyFont="1" applyFill="1" applyBorder="1" applyAlignment="1" applyProtection="1">
      <alignment horizontal="left" vertical="center"/>
    </xf>
    <xf numFmtId="0" fontId="3" fillId="4" borderId="0" xfId="0" applyFont="1" applyFill="1" applyBorder="1" applyAlignment="1" applyProtection="1">
      <alignment horizontal="left" vertical="center" wrapText="1"/>
    </xf>
    <xf numFmtId="14" fontId="3" fillId="0" borderId="0" xfId="0" applyNumberFormat="1" applyFont="1" applyProtection="1">
      <protection locked="0"/>
    </xf>
    <xf numFmtId="0" fontId="3" fillId="0" borderId="0" xfId="0" applyFont="1" applyProtection="1">
      <protection locked="0"/>
    </xf>
    <xf numFmtId="0" fontId="3" fillId="0" borderId="1" xfId="0" applyNumberFormat="1" applyFont="1" applyBorder="1" applyAlignment="1" applyProtection="1">
      <alignment horizontal="left"/>
      <protection locked="0"/>
    </xf>
    <xf numFmtId="49" fontId="3" fillId="0" borderId="1" xfId="0" applyNumberFormat="1" applyFont="1" applyBorder="1" applyAlignment="1" applyProtection="1">
      <alignment horizontal="left" shrinkToFit="1"/>
      <protection locked="0"/>
    </xf>
    <xf numFmtId="0" fontId="3" fillId="0" borderId="1" xfId="0" applyNumberFormat="1" applyFont="1" applyBorder="1" applyAlignment="1" applyProtection="1">
      <alignment shrinkToFit="1"/>
      <protection locked="0"/>
    </xf>
    <xf numFmtId="165" fontId="3" fillId="0" borderId="0" xfId="0" applyNumberFormat="1" applyFont="1" applyProtection="1">
      <protection locked="0"/>
    </xf>
    <xf numFmtId="169" fontId="3" fillId="0" borderId="1" xfId="0" applyNumberFormat="1" applyFont="1" applyBorder="1" applyProtection="1">
      <protection locked="0"/>
    </xf>
    <xf numFmtId="170" fontId="3" fillId="0" borderId="1" xfId="0" applyNumberFormat="1" applyFont="1" applyBorder="1" applyProtection="1">
      <protection locked="0"/>
    </xf>
    <xf numFmtId="168" fontId="3" fillId="0" borderId="1" xfId="0" applyNumberFormat="1" applyFont="1" applyBorder="1" applyProtection="1">
      <protection locked="0"/>
    </xf>
    <xf numFmtId="171" fontId="3" fillId="0" borderId="1" xfId="0" applyNumberFormat="1" applyFont="1" applyBorder="1" applyProtection="1">
      <protection locked="0"/>
    </xf>
    <xf numFmtId="171" fontId="3" fillId="3" borderId="1" xfId="0" applyNumberFormat="1" applyFont="1" applyFill="1" applyBorder="1" applyProtection="1"/>
    <xf numFmtId="172" fontId="3" fillId="0" borderId="1" xfId="0" applyNumberFormat="1" applyFont="1" applyBorder="1" applyProtection="1">
      <protection locked="0"/>
    </xf>
    <xf numFmtId="0" fontId="19" fillId="2" borderId="0" xfId="0" applyFont="1" applyFill="1" applyProtection="1"/>
    <xf numFmtId="165" fontId="20" fillId="2" borderId="0" xfId="0" applyNumberFormat="1" applyFont="1" applyFill="1" applyProtection="1"/>
    <xf numFmtId="14" fontId="2" fillId="2" borderId="0" xfId="0" applyNumberFormat="1" applyFont="1" applyFill="1" applyAlignment="1" applyProtection="1">
      <alignment horizontal="left"/>
      <protection locked="0"/>
    </xf>
    <xf numFmtId="165" fontId="4" fillId="0" borderId="0" xfId="0" applyNumberFormat="1" applyFont="1" applyProtection="1">
      <protection locked="0"/>
    </xf>
    <xf numFmtId="0" fontId="3" fillId="0" borderId="0" xfId="0" applyFont="1" applyProtection="1"/>
    <xf numFmtId="0" fontId="3" fillId="3" borderId="0" xfId="0" applyFont="1" applyFill="1" applyProtection="1"/>
    <xf numFmtId="0" fontId="4" fillId="0" borderId="0" xfId="0" applyFont="1" applyProtection="1"/>
    <xf numFmtId="8" fontId="4" fillId="0" borderId="0" xfId="0" applyNumberFormat="1" applyFont="1" applyProtection="1"/>
    <xf numFmtId="0" fontId="5" fillId="4" borderId="0" xfId="0" applyFont="1" applyFill="1" applyProtection="1"/>
    <xf numFmtId="0" fontId="3" fillId="4" borderId="0" xfId="0" applyFont="1" applyFill="1" applyProtection="1"/>
    <xf numFmtId="0" fontId="2" fillId="4" borderId="0" xfId="0" applyFont="1" applyFill="1" applyAlignment="1" applyProtection="1">
      <alignment horizontal="center"/>
    </xf>
    <xf numFmtId="0" fontId="2" fillId="4" borderId="0" xfId="0" applyFont="1" applyFill="1" applyProtection="1"/>
    <xf numFmtId="17" fontId="6" fillId="4" borderId="0" xfId="0" applyNumberFormat="1" applyFont="1" applyFill="1" applyAlignment="1" applyProtection="1">
      <alignment horizontal="center"/>
    </xf>
    <xf numFmtId="17" fontId="6" fillId="4" borderId="11" xfId="0" applyNumberFormat="1" applyFont="1" applyFill="1" applyBorder="1" applyAlignment="1" applyProtection="1">
      <alignment horizontal="center"/>
    </xf>
    <xf numFmtId="17" fontId="6" fillId="4" borderId="6" xfId="0" applyNumberFormat="1" applyFont="1" applyFill="1" applyBorder="1" applyAlignment="1" applyProtection="1">
      <alignment horizontal="center"/>
    </xf>
    <xf numFmtId="17" fontId="6" fillId="4" borderId="12" xfId="0" applyNumberFormat="1" applyFont="1" applyFill="1" applyBorder="1" applyAlignment="1" applyProtection="1">
      <alignment horizontal="center"/>
    </xf>
    <xf numFmtId="0" fontId="9" fillId="0" borderId="0" xfId="0" applyFont="1" applyFill="1" applyProtection="1"/>
    <xf numFmtId="0" fontId="3" fillId="3" borderId="3" xfId="0" applyFont="1" applyFill="1" applyBorder="1" applyAlignment="1" applyProtection="1">
      <alignment horizontal="center"/>
    </xf>
    <xf numFmtId="14" fontId="3" fillId="3" borderId="3" xfId="0" applyNumberFormat="1" applyFont="1" applyFill="1" applyBorder="1" applyAlignment="1" applyProtection="1">
      <alignment horizontal="center"/>
    </xf>
    <xf numFmtId="0" fontId="3" fillId="0" borderId="4" xfId="0" applyFont="1" applyBorder="1" applyProtection="1"/>
    <xf numFmtId="165" fontId="3" fillId="3" borderId="3" xfId="0" applyNumberFormat="1" applyFont="1" applyFill="1" applyBorder="1" applyAlignment="1" applyProtection="1">
      <alignment horizontal="center"/>
    </xf>
    <xf numFmtId="167" fontId="3" fillId="3" borderId="13" xfId="0" applyNumberFormat="1" applyFont="1" applyFill="1" applyBorder="1" applyAlignment="1" applyProtection="1">
      <alignment horizontal="center"/>
    </xf>
    <xf numFmtId="8" fontId="3" fillId="3" borderId="3" xfId="0" applyNumberFormat="1" applyFont="1" applyFill="1" applyBorder="1" applyAlignment="1" applyProtection="1">
      <alignment horizontal="center"/>
    </xf>
    <xf numFmtId="8" fontId="3" fillId="4" borderId="3" xfId="0" applyNumberFormat="1" applyFont="1" applyFill="1" applyBorder="1" applyAlignment="1" applyProtection="1">
      <alignment horizontal="center"/>
    </xf>
    <xf numFmtId="0" fontId="3" fillId="4" borderId="0" xfId="0" applyFont="1" applyFill="1" applyBorder="1" applyProtection="1"/>
    <xf numFmtId="0" fontId="3" fillId="4" borderId="2" xfId="0" applyFont="1" applyFill="1" applyBorder="1" applyProtection="1"/>
    <xf numFmtId="0" fontId="2" fillId="4" borderId="0" xfId="0" applyFont="1" applyFill="1" applyAlignment="1" applyProtection="1">
      <alignment horizontal="centerContinuous"/>
    </xf>
    <xf numFmtId="0" fontId="3" fillId="4" borderId="0" xfId="0" applyFont="1" applyFill="1" applyAlignment="1" applyProtection="1">
      <alignment horizontal="centerContinuous"/>
    </xf>
    <xf numFmtId="0" fontId="3" fillId="4" borderId="2" xfId="0" applyFont="1" applyFill="1" applyBorder="1" applyAlignment="1" applyProtection="1">
      <alignment horizontal="centerContinuous"/>
    </xf>
    <xf numFmtId="0" fontId="7" fillId="3" borderId="0" xfId="0" applyFont="1" applyFill="1" applyProtection="1"/>
    <xf numFmtId="165" fontId="3" fillId="3" borderId="0" xfId="0" applyNumberFormat="1" applyFont="1" applyFill="1" applyProtection="1"/>
    <xf numFmtId="0" fontId="13" fillId="3" borderId="0" xfId="0" applyFont="1" applyFill="1" applyProtection="1"/>
    <xf numFmtId="165" fontId="12" fillId="3" borderId="0" xfId="0" applyNumberFormat="1" applyFont="1" applyFill="1" applyProtection="1"/>
    <xf numFmtId="166" fontId="3" fillId="3" borderId="0" xfId="0" applyNumberFormat="1" applyFont="1" applyFill="1" applyProtection="1"/>
    <xf numFmtId="8" fontId="3" fillId="3" borderId="0" xfId="0" applyNumberFormat="1" applyFont="1" applyFill="1" applyProtection="1"/>
    <xf numFmtId="0" fontId="14" fillId="3" borderId="0" xfId="0" applyFont="1" applyFill="1" applyProtection="1"/>
    <xf numFmtId="8" fontId="12" fillId="3" borderId="0" xfId="0" applyNumberFormat="1" applyFont="1" applyFill="1" applyProtection="1"/>
    <xf numFmtId="0" fontId="15" fillId="3" borderId="0" xfId="0" applyFont="1" applyFill="1" applyProtection="1"/>
    <xf numFmtId="0" fontId="16" fillId="3" borderId="0" xfId="0" applyFont="1" applyFill="1" applyProtection="1"/>
    <xf numFmtId="173" fontId="3" fillId="3" borderId="0" xfId="0" applyNumberFormat="1" applyFont="1" applyFill="1" applyProtection="1"/>
    <xf numFmtId="164" fontId="3" fillId="0" borderId="0" xfId="0" applyNumberFormat="1" applyFont="1" applyProtection="1"/>
    <xf numFmtId="0" fontId="0" fillId="0" borderId="0" xfId="0" applyFont="1" applyProtection="1"/>
    <xf numFmtId="0" fontId="0" fillId="4" borderId="0" xfId="0" applyFont="1" applyFill="1" applyProtection="1"/>
    <xf numFmtId="173" fontId="3" fillId="3" borderId="15" xfId="0" applyNumberFormat="1" applyFont="1" applyFill="1" applyBorder="1" applyProtection="1"/>
    <xf numFmtId="0" fontId="0" fillId="4" borderId="0" xfId="0" applyFill="1" applyProtection="1"/>
    <xf numFmtId="0" fontId="21" fillId="0" borderId="0" xfId="1" applyFill="1" applyAlignment="1" applyProtection="1">
      <alignment horizontal="center"/>
      <protection locked="0"/>
    </xf>
    <xf numFmtId="171" fontId="3" fillId="0" borderId="0" xfId="0" applyNumberFormat="1" applyFont="1" applyBorder="1" applyAlignment="1" applyProtection="1">
      <alignment horizontal="right"/>
      <protection locked="0"/>
    </xf>
    <xf numFmtId="171" fontId="3" fillId="0" borderId="8" xfId="0" applyNumberFormat="1" applyFont="1" applyBorder="1" applyAlignment="1" applyProtection="1">
      <alignment horizontal="right"/>
      <protection locked="0"/>
    </xf>
    <xf numFmtId="171" fontId="3" fillId="3" borderId="0" xfId="0" applyNumberFormat="1" applyFont="1" applyFill="1" applyBorder="1" applyAlignment="1" applyProtection="1">
      <alignment horizontal="right"/>
    </xf>
    <xf numFmtId="171" fontId="3" fillId="3" borderId="8" xfId="0" applyNumberFormat="1" applyFont="1" applyFill="1" applyBorder="1" applyAlignment="1" applyProtection="1">
      <alignment horizontal="right"/>
    </xf>
    <xf numFmtId="169" fontId="3" fillId="0" borderId="0" xfId="0" applyNumberFormat="1" applyFont="1" applyBorder="1" applyAlignment="1" applyProtection="1">
      <alignment horizontal="right"/>
      <protection locked="0"/>
    </xf>
    <xf numFmtId="169" fontId="3" fillId="0" borderId="8" xfId="0" applyNumberFormat="1" applyFont="1" applyBorder="1" applyAlignment="1" applyProtection="1">
      <alignment horizontal="right"/>
      <protection locked="0"/>
    </xf>
    <xf numFmtId="171" fontId="7" fillId="3" borderId="0" xfId="0" applyNumberFormat="1" applyFont="1" applyFill="1" applyBorder="1" applyAlignment="1" applyProtection="1">
      <alignment horizontal="right"/>
    </xf>
    <xf numFmtId="171" fontId="7" fillId="3" borderId="8" xfId="0" applyNumberFormat="1" applyFont="1" applyFill="1" applyBorder="1" applyAlignment="1" applyProtection="1">
      <alignment horizontal="right"/>
    </xf>
    <xf numFmtId="172" fontId="3" fillId="0" borderId="0" xfId="0" applyNumberFormat="1" applyFont="1" applyBorder="1" applyAlignment="1" applyProtection="1">
      <alignment horizontal="right"/>
      <protection locked="0"/>
    </xf>
    <xf numFmtId="172" fontId="3" fillId="0" borderId="8" xfId="0" applyNumberFormat="1" applyFont="1" applyBorder="1" applyAlignment="1" applyProtection="1">
      <alignment horizontal="right"/>
      <protection locked="0"/>
    </xf>
    <xf numFmtId="168" fontId="3" fillId="0" borderId="0" xfId="0" applyNumberFormat="1" applyFont="1" applyBorder="1" applyAlignment="1" applyProtection="1">
      <alignment horizontal="right"/>
      <protection locked="0"/>
    </xf>
    <xf numFmtId="168" fontId="3" fillId="0" borderId="8" xfId="0" applyNumberFormat="1" applyFont="1" applyBorder="1" applyAlignment="1" applyProtection="1">
      <alignment horizontal="right"/>
      <protection locked="0"/>
    </xf>
    <xf numFmtId="49" fontId="3" fillId="0" borderId="0" xfId="0" applyNumberFormat="1" applyFont="1" applyBorder="1" applyAlignment="1" applyProtection="1">
      <alignment horizontal="left" shrinkToFit="1"/>
      <protection locked="0"/>
    </xf>
    <xf numFmtId="49" fontId="3" fillId="0" borderId="8" xfId="0" applyNumberFormat="1" applyFont="1" applyBorder="1" applyAlignment="1" applyProtection="1">
      <alignment horizontal="left" shrinkToFit="1"/>
      <protection locked="0"/>
    </xf>
    <xf numFmtId="0" fontId="3" fillId="0" borderId="0" xfId="0" applyNumberFormat="1" applyFont="1" applyBorder="1" applyAlignment="1" applyProtection="1">
      <alignment horizontal="left"/>
      <protection locked="0"/>
    </xf>
    <xf numFmtId="0" fontId="3" fillId="0" borderId="8" xfId="0" applyNumberFormat="1" applyFont="1" applyBorder="1" applyAlignment="1" applyProtection="1">
      <alignment horizontal="left"/>
      <protection locked="0"/>
    </xf>
    <xf numFmtId="0" fontId="3" fillId="0" borderId="0" xfId="0" applyFont="1" applyBorder="1" applyAlignment="1" applyProtection="1">
      <alignment horizontal="left" shrinkToFit="1"/>
      <protection locked="0"/>
    </xf>
    <xf numFmtId="0" fontId="3" fillId="0" borderId="8" xfId="0" applyFont="1" applyBorder="1" applyAlignment="1" applyProtection="1">
      <alignment horizontal="left" shrinkToFit="1"/>
      <protection locked="0"/>
    </xf>
    <xf numFmtId="170" fontId="7" fillId="0" borderId="0" xfId="0" applyNumberFormat="1" applyFont="1" applyBorder="1" applyAlignment="1" applyProtection="1">
      <alignment horizontal="right"/>
      <protection locked="0"/>
    </xf>
    <xf numFmtId="170" fontId="7" fillId="0" borderId="8" xfId="0" applyNumberFormat="1" applyFont="1" applyBorder="1" applyAlignment="1" applyProtection="1">
      <alignment horizontal="right"/>
      <protection locked="0"/>
    </xf>
    <xf numFmtId="14" fontId="2" fillId="2" borderId="0" xfId="0" applyNumberFormat="1" applyFont="1" applyFill="1" applyAlignment="1" applyProtection="1">
      <alignment horizontal="left"/>
      <protection locked="0"/>
    </xf>
    <xf numFmtId="0" fontId="2" fillId="4" borderId="9" xfId="0" applyFont="1" applyFill="1" applyBorder="1" applyAlignment="1" applyProtection="1">
      <alignment horizontal="center"/>
    </xf>
    <xf numFmtId="0" fontId="2" fillId="4" borderId="0" xfId="0" applyFont="1" applyFill="1" applyBorder="1" applyAlignment="1" applyProtection="1">
      <alignment horizontal="center"/>
    </xf>
    <xf numFmtId="0" fontId="2" fillId="4" borderId="10" xfId="0" applyFont="1" applyFill="1" applyBorder="1" applyAlignment="1" applyProtection="1">
      <alignment horizontal="center"/>
    </xf>
    <xf numFmtId="17" fontId="6" fillId="4" borderId="6" xfId="0" applyNumberFormat="1" applyFont="1" applyFill="1" applyBorder="1" applyAlignment="1" applyProtection="1">
      <alignment horizontal="center"/>
    </xf>
    <xf numFmtId="8" fontId="3" fillId="3" borderId="14" xfId="0" applyNumberFormat="1" applyFont="1" applyFill="1" applyBorder="1" applyAlignment="1" applyProtection="1">
      <alignment horizontal="center"/>
    </xf>
    <xf numFmtId="8" fontId="3" fillId="3" borderId="7" xfId="0" applyNumberFormat="1" applyFont="1" applyFill="1" applyBorder="1" applyAlignment="1" applyProtection="1">
      <alignment horizontal="center"/>
    </xf>
    <xf numFmtId="0" fontId="2" fillId="4" borderId="5" xfId="0" applyFont="1" applyFill="1" applyBorder="1" applyAlignment="1" applyProtection="1">
      <alignment horizontal="center"/>
    </xf>
    <xf numFmtId="0" fontId="2" fillId="4" borderId="2" xfId="0" applyFont="1" applyFill="1" applyBorder="1" applyAlignment="1" applyProtection="1">
      <alignment horizontal="center"/>
    </xf>
    <xf numFmtId="0" fontId="2" fillId="4" borderId="0" xfId="0" applyFont="1" applyFill="1" applyAlignment="1" applyProtection="1">
      <alignment horizontal="center"/>
    </xf>
  </cellXfs>
  <cellStyles count="3">
    <cellStyle name="Besuchter Hyperlink" xfId="2" builtinId="9" customBuiltin="1"/>
    <cellStyle name="Link" xfId="1" builtinId="8" customBuiltin="1"/>
    <cellStyle name="Standard" xfId="0" builtinId="0"/>
  </cellStyles>
  <dxfs count="0"/>
  <tableStyles count="0" defaultTableStyle="TableStyleMedium2" defaultPivotStyle="PivotStyleLight16"/>
  <colors>
    <mruColors>
      <color rgb="FF92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5306825847633"/>
          <c:y val="3.2407407407407406E-2"/>
          <c:w val="0.85398802741449975"/>
          <c:h val="0.80949256342957143"/>
        </c:manualLayout>
      </c:layout>
      <c:lineChart>
        <c:grouping val="standard"/>
        <c:varyColors val="0"/>
        <c:ser>
          <c:idx val="1"/>
          <c:order val="0"/>
          <c:tx>
            <c:strRef>
              <c:f>'Analyse 12 Monate'!$B$27</c:f>
              <c:strCache>
                <c:ptCount val="1"/>
                <c:pt idx="0">
                  <c:v>Verbrauch in kWh/Monat:</c:v>
                </c:pt>
              </c:strCache>
            </c:strRef>
          </c:tx>
          <c:spPr>
            <a:ln w="28575" cap="rnd">
              <a:solidFill>
                <a:schemeClr val="accent6">
                  <a:lumMod val="75000"/>
                </a:schemeClr>
              </a:solidFill>
              <a:round/>
            </a:ln>
            <a:effectLst/>
          </c:spPr>
          <c:marker>
            <c:symbol val="none"/>
          </c:marker>
          <c:cat>
            <c:numRef>
              <c:f>'Analyse 12 Monate'!$C$24:$N$24</c:f>
              <c:numCache>
                <c:formatCode>mmm\-yy</c:formatCode>
                <c:ptCount val="12"/>
                <c:pt idx="0">
                  <c:v>45658</c:v>
                </c:pt>
                <c:pt idx="1">
                  <c:v>45689</c:v>
                </c:pt>
                <c:pt idx="2">
                  <c:v>45720</c:v>
                </c:pt>
                <c:pt idx="3">
                  <c:v>45751</c:v>
                </c:pt>
                <c:pt idx="4">
                  <c:v>45782</c:v>
                </c:pt>
                <c:pt idx="5">
                  <c:v>45813</c:v>
                </c:pt>
                <c:pt idx="6">
                  <c:v>45844</c:v>
                </c:pt>
                <c:pt idx="7">
                  <c:v>45875</c:v>
                </c:pt>
                <c:pt idx="8">
                  <c:v>45906</c:v>
                </c:pt>
                <c:pt idx="9">
                  <c:v>45937</c:v>
                </c:pt>
                <c:pt idx="10">
                  <c:v>45968</c:v>
                </c:pt>
                <c:pt idx="11">
                  <c:v>45999</c:v>
                </c:pt>
              </c:numCache>
            </c:numRef>
          </c:cat>
          <c:val>
            <c:numRef>
              <c:f>'Analyse 12 Monate'!$C$28:$N$28</c:f>
              <c:numCache>
                <c:formatCode>#,##0\ "kWh"</c:formatCode>
                <c:ptCount val="12"/>
                <c:pt idx="0">
                  <c:v>150</c:v>
                </c:pt>
                <c:pt idx="1">
                  <c:v>160</c:v>
                </c:pt>
                <c:pt idx="2">
                  <c:v>170</c:v>
                </c:pt>
                <c:pt idx="3">
                  <c:v>181</c:v>
                </c:pt>
                <c:pt idx="4">
                  <c:v>185</c:v>
                </c:pt>
                <c:pt idx="5">
                  <c:v>167</c:v>
                </c:pt>
                <c:pt idx="6">
                  <c:v>165</c:v>
                </c:pt>
                <c:pt idx="7">
                  <c:v>167</c:v>
                </c:pt>
                <c:pt idx="8">
                  <c:v>#N/A</c:v>
                </c:pt>
                <c:pt idx="9">
                  <c:v>#N/A</c:v>
                </c:pt>
                <c:pt idx="10">
                  <c:v>#N/A</c:v>
                </c:pt>
                <c:pt idx="11">
                  <c:v>#N/A</c:v>
                </c:pt>
              </c:numCache>
            </c:numRef>
          </c:val>
          <c:smooth val="0"/>
          <c:extLst>
            <c:ext xmlns:c16="http://schemas.microsoft.com/office/drawing/2014/chart" uri="{C3380CC4-5D6E-409C-BE32-E72D297353CC}">
              <c16:uniqueId val="{00000001-E135-4EF7-AF3F-75CBFD66BCF4}"/>
            </c:ext>
          </c:extLst>
        </c:ser>
        <c:ser>
          <c:idx val="0"/>
          <c:order val="1"/>
          <c:tx>
            <c:strRef>
              <c:f>'Analyse 12 Monate'!$B$50</c:f>
              <c:strCache>
                <c:ptCount val="1"/>
                <c:pt idx="0">
                  <c:v>Geplanter Verbrauch in kWh:</c:v>
                </c:pt>
              </c:strCache>
            </c:strRef>
          </c:tx>
          <c:spPr>
            <a:ln w="28575" cap="rnd">
              <a:solidFill>
                <a:schemeClr val="accent2"/>
              </a:solidFill>
              <a:round/>
            </a:ln>
            <a:effectLst/>
          </c:spPr>
          <c:marker>
            <c:symbol val="none"/>
          </c:marker>
          <c:cat>
            <c:numRef>
              <c:f>'Analyse 12 Monate'!$C$24:$N$24</c:f>
              <c:numCache>
                <c:formatCode>mmm\-yy</c:formatCode>
                <c:ptCount val="12"/>
                <c:pt idx="0">
                  <c:v>45658</c:v>
                </c:pt>
                <c:pt idx="1">
                  <c:v>45689</c:v>
                </c:pt>
                <c:pt idx="2">
                  <c:v>45720</c:v>
                </c:pt>
                <c:pt idx="3">
                  <c:v>45751</c:v>
                </c:pt>
                <c:pt idx="4">
                  <c:v>45782</c:v>
                </c:pt>
                <c:pt idx="5">
                  <c:v>45813</c:v>
                </c:pt>
                <c:pt idx="6">
                  <c:v>45844</c:v>
                </c:pt>
                <c:pt idx="7">
                  <c:v>45875</c:v>
                </c:pt>
                <c:pt idx="8">
                  <c:v>45906</c:v>
                </c:pt>
                <c:pt idx="9">
                  <c:v>45937</c:v>
                </c:pt>
                <c:pt idx="10">
                  <c:v>45968</c:v>
                </c:pt>
                <c:pt idx="11">
                  <c:v>45999</c:v>
                </c:pt>
              </c:numCache>
            </c:numRef>
          </c:cat>
          <c:val>
            <c:numRef>
              <c:f>'Analyse 12 Monate'!$C$50:$N$50</c:f>
              <c:numCache>
                <c:formatCode>#,##0\ "kWh"</c:formatCode>
                <c:ptCount val="12"/>
                <c:pt idx="0">
                  <c:v>150</c:v>
                </c:pt>
                <c:pt idx="1">
                  <c:v>150</c:v>
                </c:pt>
                <c:pt idx="2">
                  <c:v>150</c:v>
                </c:pt>
                <c:pt idx="3">
                  <c:v>150</c:v>
                </c:pt>
                <c:pt idx="4">
                  <c:v>150</c:v>
                </c:pt>
                <c:pt idx="5">
                  <c:v>150</c:v>
                </c:pt>
                <c:pt idx="6">
                  <c:v>150</c:v>
                </c:pt>
                <c:pt idx="7">
                  <c:v>150</c:v>
                </c:pt>
                <c:pt idx="8">
                  <c:v>150</c:v>
                </c:pt>
                <c:pt idx="9">
                  <c:v>150</c:v>
                </c:pt>
                <c:pt idx="10">
                  <c:v>150</c:v>
                </c:pt>
                <c:pt idx="11">
                  <c:v>150</c:v>
                </c:pt>
              </c:numCache>
            </c:numRef>
          </c:val>
          <c:smooth val="0"/>
          <c:extLst>
            <c:ext xmlns:c16="http://schemas.microsoft.com/office/drawing/2014/chart" uri="{C3380CC4-5D6E-409C-BE32-E72D297353CC}">
              <c16:uniqueId val="{00000000-D370-492B-97E2-535CF3F56AF7}"/>
            </c:ext>
          </c:extLst>
        </c:ser>
        <c:dLbls>
          <c:showLegendKey val="0"/>
          <c:showVal val="0"/>
          <c:showCatName val="0"/>
          <c:showSerName val="0"/>
          <c:showPercent val="0"/>
          <c:showBubbleSize val="0"/>
        </c:dLbls>
        <c:smooth val="0"/>
        <c:axId val="840779136"/>
        <c:axId val="708680800"/>
      </c:lineChart>
      <c:dateAx>
        <c:axId val="840779136"/>
        <c:scaling>
          <c:orientation val="minMax"/>
        </c:scaling>
        <c:delete val="0"/>
        <c:axPos val="b"/>
        <c:numFmt formatCode="m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708680800"/>
        <c:crosses val="autoZero"/>
        <c:auto val="1"/>
        <c:lblOffset val="100"/>
        <c:baseTimeUnit val="months"/>
      </c:dateAx>
      <c:valAx>
        <c:axId val="708680800"/>
        <c:scaling>
          <c:orientation val="minMax"/>
        </c:scaling>
        <c:delete val="0"/>
        <c:axPos val="l"/>
        <c:majorGridlines>
          <c:spPr>
            <a:ln w="9525" cap="flat" cmpd="sng" algn="ctr">
              <a:solidFill>
                <a:schemeClr val="tx1">
                  <a:lumMod val="15000"/>
                  <a:lumOff val="85000"/>
                </a:schemeClr>
              </a:solidFill>
              <a:round/>
            </a:ln>
            <a:effectLst/>
          </c:spPr>
        </c:majorGridlines>
        <c:numFmt formatCode="#,##0\ &quot;kWh&quot;"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840779136"/>
        <c:crosses val="autoZero"/>
        <c:crossBetween val="between"/>
      </c:valAx>
      <c:spPr>
        <a:noFill/>
        <a:ln>
          <a:noFill/>
        </a:ln>
        <a:effectLst/>
      </c:spPr>
    </c:plotArea>
    <c:legend>
      <c:legendPos val="b"/>
      <c:layout>
        <c:manualLayout>
          <c:xMode val="edge"/>
          <c:yMode val="edge"/>
          <c:x val="0.1808479792182035"/>
          <c:y val="0.92609389016246391"/>
          <c:w val="0.76706683481813231"/>
          <c:h val="6.1010332569188343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0"/>
          <c:tx>
            <c:strRef>
              <c:f>'Analyse 12 Monate'!$B$33</c:f>
              <c:strCache>
                <c:ptCount val="1"/>
                <c:pt idx="0">
                  <c:v>Verbrauchskosten/Monat:</c:v>
                </c:pt>
              </c:strCache>
            </c:strRef>
          </c:tx>
          <c:spPr>
            <a:ln w="28575" cap="rnd">
              <a:solidFill>
                <a:schemeClr val="accent4"/>
              </a:solidFill>
              <a:round/>
            </a:ln>
            <a:effectLst/>
          </c:spPr>
          <c:marker>
            <c:symbol val="none"/>
          </c:marker>
          <c:cat>
            <c:numRef>
              <c:f>'Analyse 12 Monate'!$C$24:$N$24</c:f>
              <c:numCache>
                <c:formatCode>mmm\-yy</c:formatCode>
                <c:ptCount val="12"/>
                <c:pt idx="0">
                  <c:v>45658</c:v>
                </c:pt>
                <c:pt idx="1">
                  <c:v>45689</c:v>
                </c:pt>
                <c:pt idx="2">
                  <c:v>45720</c:v>
                </c:pt>
                <c:pt idx="3">
                  <c:v>45751</c:v>
                </c:pt>
                <c:pt idx="4">
                  <c:v>45782</c:v>
                </c:pt>
                <c:pt idx="5">
                  <c:v>45813</c:v>
                </c:pt>
                <c:pt idx="6">
                  <c:v>45844</c:v>
                </c:pt>
                <c:pt idx="7">
                  <c:v>45875</c:v>
                </c:pt>
                <c:pt idx="8">
                  <c:v>45906</c:v>
                </c:pt>
                <c:pt idx="9">
                  <c:v>45937</c:v>
                </c:pt>
                <c:pt idx="10">
                  <c:v>45968</c:v>
                </c:pt>
                <c:pt idx="11">
                  <c:v>45999</c:v>
                </c:pt>
              </c:numCache>
            </c:numRef>
          </c:cat>
          <c:val>
            <c:numRef>
              <c:f>'Analyse 12 Monate'!$C$34:$N$34</c:f>
              <c:numCache>
                <c:formatCode>"€"#,##0.00_);[Red]\("€"#,##0.00\)</c:formatCode>
                <c:ptCount val="12"/>
                <c:pt idx="0">
                  <c:v>22.5</c:v>
                </c:pt>
                <c:pt idx="1">
                  <c:v>24</c:v>
                </c:pt>
                <c:pt idx="2">
                  <c:v>25.5</c:v>
                </c:pt>
                <c:pt idx="3">
                  <c:v>27.15</c:v>
                </c:pt>
                <c:pt idx="4">
                  <c:v>27.75</c:v>
                </c:pt>
                <c:pt idx="5">
                  <c:v>25.05</c:v>
                </c:pt>
                <c:pt idx="6">
                  <c:v>24.75</c:v>
                </c:pt>
                <c:pt idx="7">
                  <c:v>25.05</c:v>
                </c:pt>
                <c:pt idx="8">
                  <c:v>#N/A</c:v>
                </c:pt>
                <c:pt idx="9">
                  <c:v>#N/A</c:v>
                </c:pt>
                <c:pt idx="10">
                  <c:v>#N/A</c:v>
                </c:pt>
                <c:pt idx="11">
                  <c:v>#N/A</c:v>
                </c:pt>
              </c:numCache>
            </c:numRef>
          </c:val>
          <c:smooth val="0"/>
          <c:extLst>
            <c:ext xmlns:c16="http://schemas.microsoft.com/office/drawing/2014/chart" uri="{C3380CC4-5D6E-409C-BE32-E72D297353CC}">
              <c16:uniqueId val="{00000003-899D-42F2-B9F2-B270F686AACE}"/>
            </c:ext>
          </c:extLst>
        </c:ser>
        <c:ser>
          <c:idx val="4"/>
          <c:order val="1"/>
          <c:tx>
            <c:strRef>
              <c:f>'Analyse 12 Monate'!$B$35</c:f>
              <c:strCache>
                <c:ptCount val="1"/>
                <c:pt idx="0">
                  <c:v>Grundpreis/Monat:</c:v>
                </c:pt>
              </c:strCache>
            </c:strRef>
          </c:tx>
          <c:spPr>
            <a:ln w="28575" cap="rnd">
              <a:solidFill>
                <a:schemeClr val="accent5"/>
              </a:solidFill>
              <a:round/>
            </a:ln>
            <a:effectLst/>
          </c:spPr>
          <c:marker>
            <c:symbol val="none"/>
          </c:marker>
          <c:cat>
            <c:numRef>
              <c:f>'Analyse 12 Monate'!$C$24:$N$24</c:f>
              <c:numCache>
                <c:formatCode>mmm\-yy</c:formatCode>
                <c:ptCount val="12"/>
                <c:pt idx="0">
                  <c:v>45658</c:v>
                </c:pt>
                <c:pt idx="1">
                  <c:v>45689</c:v>
                </c:pt>
                <c:pt idx="2">
                  <c:v>45720</c:v>
                </c:pt>
                <c:pt idx="3">
                  <c:v>45751</c:v>
                </c:pt>
                <c:pt idx="4">
                  <c:v>45782</c:v>
                </c:pt>
                <c:pt idx="5">
                  <c:v>45813</c:v>
                </c:pt>
                <c:pt idx="6">
                  <c:v>45844</c:v>
                </c:pt>
                <c:pt idx="7">
                  <c:v>45875</c:v>
                </c:pt>
                <c:pt idx="8">
                  <c:v>45906</c:v>
                </c:pt>
                <c:pt idx="9">
                  <c:v>45937</c:v>
                </c:pt>
                <c:pt idx="10">
                  <c:v>45968</c:v>
                </c:pt>
                <c:pt idx="11">
                  <c:v>45999</c:v>
                </c:pt>
              </c:numCache>
            </c:numRef>
          </c:cat>
          <c:val>
            <c:numRef>
              <c:f>'Analyse 12 Monate'!$C$36:$N$36</c:f>
              <c:numCache>
                <c:formatCode>"€"#,##0.00_);[Red]\("€"#,##0.00\)</c:formatCode>
                <c:ptCount val="12"/>
                <c:pt idx="0">
                  <c:v>25</c:v>
                </c:pt>
                <c:pt idx="1">
                  <c:v>25</c:v>
                </c:pt>
                <c:pt idx="2">
                  <c:v>25</c:v>
                </c:pt>
                <c:pt idx="3">
                  <c:v>25</c:v>
                </c:pt>
                <c:pt idx="4">
                  <c:v>25</c:v>
                </c:pt>
                <c:pt idx="5">
                  <c:v>25</c:v>
                </c:pt>
                <c:pt idx="6">
                  <c:v>25</c:v>
                </c:pt>
                <c:pt idx="7">
                  <c:v>25</c:v>
                </c:pt>
                <c:pt idx="8">
                  <c:v>#N/A</c:v>
                </c:pt>
                <c:pt idx="9">
                  <c:v>#N/A</c:v>
                </c:pt>
                <c:pt idx="10">
                  <c:v>#N/A</c:v>
                </c:pt>
                <c:pt idx="11">
                  <c:v>#N/A</c:v>
                </c:pt>
              </c:numCache>
            </c:numRef>
          </c:val>
          <c:smooth val="0"/>
          <c:extLst>
            <c:ext xmlns:c16="http://schemas.microsoft.com/office/drawing/2014/chart" uri="{C3380CC4-5D6E-409C-BE32-E72D297353CC}">
              <c16:uniqueId val="{00000004-899D-42F2-B9F2-B270F686AACE}"/>
            </c:ext>
          </c:extLst>
        </c:ser>
        <c:ser>
          <c:idx val="5"/>
          <c:order val="2"/>
          <c:tx>
            <c:strRef>
              <c:f>'Analyse 12 Monate'!$B$37</c:f>
              <c:strCache>
                <c:ptCount val="1"/>
                <c:pt idx="0">
                  <c:v>IST-Kosten/Monat:</c:v>
                </c:pt>
              </c:strCache>
            </c:strRef>
          </c:tx>
          <c:spPr>
            <a:ln w="28575" cap="rnd">
              <a:solidFill>
                <a:schemeClr val="accent6"/>
              </a:solidFill>
              <a:round/>
            </a:ln>
            <a:effectLst/>
          </c:spPr>
          <c:marker>
            <c:symbol val="none"/>
          </c:marker>
          <c:cat>
            <c:numRef>
              <c:f>'Analyse 12 Monate'!$C$24:$N$24</c:f>
              <c:numCache>
                <c:formatCode>mmm\-yy</c:formatCode>
                <c:ptCount val="12"/>
                <c:pt idx="0">
                  <c:v>45658</c:v>
                </c:pt>
                <c:pt idx="1">
                  <c:v>45689</c:v>
                </c:pt>
                <c:pt idx="2">
                  <c:v>45720</c:v>
                </c:pt>
                <c:pt idx="3">
                  <c:v>45751</c:v>
                </c:pt>
                <c:pt idx="4">
                  <c:v>45782</c:v>
                </c:pt>
                <c:pt idx="5">
                  <c:v>45813</c:v>
                </c:pt>
                <c:pt idx="6">
                  <c:v>45844</c:v>
                </c:pt>
                <c:pt idx="7">
                  <c:v>45875</c:v>
                </c:pt>
                <c:pt idx="8">
                  <c:v>45906</c:v>
                </c:pt>
                <c:pt idx="9">
                  <c:v>45937</c:v>
                </c:pt>
                <c:pt idx="10">
                  <c:v>45968</c:v>
                </c:pt>
                <c:pt idx="11">
                  <c:v>45999</c:v>
                </c:pt>
              </c:numCache>
            </c:numRef>
          </c:cat>
          <c:val>
            <c:numRef>
              <c:f>'Analyse 12 Monate'!$C$38:$N$38</c:f>
              <c:numCache>
                <c:formatCode>"€"#,##0.00_);[Red]\("€"#,##0.00\)</c:formatCode>
                <c:ptCount val="12"/>
                <c:pt idx="0">
                  <c:v>47.5</c:v>
                </c:pt>
                <c:pt idx="1">
                  <c:v>49</c:v>
                </c:pt>
                <c:pt idx="2">
                  <c:v>50.5</c:v>
                </c:pt>
                <c:pt idx="3">
                  <c:v>52.15</c:v>
                </c:pt>
                <c:pt idx="4">
                  <c:v>52.75</c:v>
                </c:pt>
                <c:pt idx="5">
                  <c:v>50.05</c:v>
                </c:pt>
                <c:pt idx="6">
                  <c:v>49.75</c:v>
                </c:pt>
                <c:pt idx="7">
                  <c:v>50.05</c:v>
                </c:pt>
                <c:pt idx="8">
                  <c:v>#N/A</c:v>
                </c:pt>
                <c:pt idx="9">
                  <c:v>#N/A</c:v>
                </c:pt>
                <c:pt idx="10">
                  <c:v>#N/A</c:v>
                </c:pt>
                <c:pt idx="11">
                  <c:v>#N/A</c:v>
                </c:pt>
              </c:numCache>
            </c:numRef>
          </c:val>
          <c:smooth val="0"/>
          <c:extLst>
            <c:ext xmlns:c16="http://schemas.microsoft.com/office/drawing/2014/chart" uri="{C3380CC4-5D6E-409C-BE32-E72D297353CC}">
              <c16:uniqueId val="{00000005-899D-42F2-B9F2-B270F686AACE}"/>
            </c:ext>
          </c:extLst>
        </c:ser>
        <c:dLbls>
          <c:showLegendKey val="0"/>
          <c:showVal val="0"/>
          <c:showCatName val="0"/>
          <c:showSerName val="0"/>
          <c:showPercent val="0"/>
          <c:showBubbleSize val="0"/>
        </c:dLbls>
        <c:smooth val="0"/>
        <c:axId val="834393040"/>
        <c:axId val="834393872"/>
      </c:lineChart>
      <c:dateAx>
        <c:axId val="834393040"/>
        <c:scaling>
          <c:orientation val="minMax"/>
        </c:scaling>
        <c:delete val="0"/>
        <c:axPos val="b"/>
        <c:numFmt formatCode="mmm"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crossAx val="834393872"/>
        <c:crosses val="autoZero"/>
        <c:auto val="1"/>
        <c:lblOffset val="100"/>
        <c:baseTimeUnit val="months"/>
      </c:dateAx>
      <c:valAx>
        <c:axId val="834393872"/>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Red]\(&quot;€&quot;#,##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834393040"/>
        <c:crosses val="autoZero"/>
        <c:crossBetween val="between"/>
      </c:valAx>
      <c:spPr>
        <a:noFill/>
        <a:ln>
          <a:noFill/>
        </a:ln>
        <a:effectLst/>
      </c:spPr>
    </c:plotArea>
    <c:legend>
      <c:legendPos val="b"/>
      <c:layout>
        <c:manualLayout>
          <c:xMode val="edge"/>
          <c:yMode val="edge"/>
          <c:x val="4.9999999999999996E-2"/>
          <c:y val="0.92818739607810807"/>
          <c:w val="0.9"/>
          <c:h val="6.3086600431490572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52405459440614"/>
          <c:y val="2.6845637583892617E-2"/>
          <c:w val="0.84146066525895202"/>
          <c:h val="0.82480191543455172"/>
        </c:manualLayout>
      </c:layout>
      <c:scatterChart>
        <c:scatterStyle val="lineMarker"/>
        <c:varyColors val="0"/>
        <c:ser>
          <c:idx val="0"/>
          <c:order val="0"/>
          <c:tx>
            <c:strRef>
              <c:f>'Analyse indiv'!$E$6</c:f>
              <c:strCache>
                <c:ptCount val="1"/>
                <c:pt idx="0">
                  <c:v>Verbrauch in kWh je Monat</c:v>
                </c:pt>
              </c:strCache>
            </c:strRef>
          </c:tx>
          <c:spPr>
            <a:ln w="28575" cap="rnd">
              <a:solidFill>
                <a:schemeClr val="accent6">
                  <a:lumMod val="50000"/>
                </a:schemeClr>
              </a:solidFill>
              <a:round/>
            </a:ln>
            <a:effectLst/>
          </c:spPr>
          <c:marker>
            <c:symbol val="circle"/>
            <c:size val="3"/>
            <c:spPr>
              <a:solidFill>
                <a:schemeClr val="accent6">
                  <a:lumMod val="50000"/>
                </a:schemeClr>
              </a:solidFill>
              <a:ln w="9525">
                <a:solidFill>
                  <a:schemeClr val="accent6">
                    <a:lumMod val="50000"/>
                    <a:alpha val="91000"/>
                  </a:schemeClr>
                </a:solidFill>
              </a:ln>
              <a:effectLst/>
            </c:spPr>
          </c:marker>
          <c:xVal>
            <c:numRef>
              <c:f>'Analyse indiv'!$B$26:$B$49</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xVal>
          <c:yVal>
            <c:numRef>
              <c:f>'Analyse indiv'!$G$26:$G$49</c:f>
              <c:numCache>
                <c:formatCode>#,##0\ "kWh"</c:formatCode>
                <c:ptCount val="24"/>
                <c:pt idx="0">
                  <c:v>160</c:v>
                </c:pt>
                <c:pt idx="1">
                  <c:v>160</c:v>
                </c:pt>
                <c:pt idx="2">
                  <c:v>170</c:v>
                </c:pt>
                <c:pt idx="3">
                  <c:v>176</c:v>
                </c:pt>
                <c:pt idx="4">
                  <c:v>180</c:v>
                </c:pt>
                <c:pt idx="5">
                  <c:v>177</c:v>
                </c:pt>
                <c:pt idx="6">
                  <c:v>165</c:v>
                </c:pt>
                <c:pt idx="7">
                  <c:v>167</c:v>
                </c:pt>
                <c:pt idx="8">
                  <c:v>172</c:v>
                </c:pt>
                <c:pt idx="9">
                  <c:v>179</c:v>
                </c:pt>
                <c:pt idx="10">
                  <c:v>174</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yVal>
          <c:smooth val="0"/>
          <c:extLst>
            <c:ext xmlns:c16="http://schemas.microsoft.com/office/drawing/2014/chart" uri="{C3380CC4-5D6E-409C-BE32-E72D297353CC}">
              <c16:uniqueId val="{00000000-83B9-44B3-9202-220B8DCD66D8}"/>
            </c:ext>
          </c:extLst>
        </c:ser>
        <c:dLbls>
          <c:showLegendKey val="0"/>
          <c:showVal val="0"/>
          <c:showCatName val="0"/>
          <c:showSerName val="0"/>
          <c:showPercent val="0"/>
          <c:showBubbleSize val="0"/>
        </c:dLbls>
        <c:axId val="1917037776"/>
        <c:axId val="1917035696"/>
      </c:scatterChart>
      <c:valAx>
        <c:axId val="1917037776"/>
        <c:scaling>
          <c:orientation val="minMax"/>
          <c:max val="24"/>
          <c:min val="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1917035696"/>
        <c:crosses val="autoZero"/>
        <c:crossBetween val="midCat"/>
        <c:majorUnit val="4"/>
        <c:minorUnit val="1"/>
      </c:valAx>
      <c:valAx>
        <c:axId val="1917035696"/>
        <c:scaling>
          <c:orientation val="minMax"/>
        </c:scaling>
        <c:delete val="0"/>
        <c:axPos val="l"/>
        <c:majorGridlines>
          <c:spPr>
            <a:ln w="9525" cap="flat" cmpd="sng" algn="ctr">
              <a:solidFill>
                <a:schemeClr val="accent6">
                  <a:lumMod val="40000"/>
                  <a:lumOff val="60000"/>
                </a:schemeClr>
              </a:solidFill>
              <a:round/>
            </a:ln>
            <a:effectLst/>
          </c:spPr>
        </c:majorGridlines>
        <c:numFmt formatCode="0\ &quot;kWh&quot;"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1917037776"/>
        <c:crosses val="autoZero"/>
        <c:crossBetween val="midCat"/>
      </c:valAx>
      <c:spPr>
        <a:noFill/>
        <a:ln>
          <a:noFill/>
        </a:ln>
        <a:effectLst/>
      </c:spPr>
    </c:plotArea>
    <c:legend>
      <c:legendPos val="b"/>
      <c:layout>
        <c:manualLayout>
          <c:xMode val="edge"/>
          <c:yMode val="edge"/>
          <c:x val="0.30199136283781913"/>
          <c:y val="0.92110713433548075"/>
          <c:w val="0.40144938399126839"/>
          <c:h val="6.0436567686092527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52405459440614"/>
          <c:y val="2.6845637583892617E-2"/>
          <c:w val="0.86002269671945097"/>
          <c:h val="0.82961890106508818"/>
        </c:manualLayout>
      </c:layout>
      <c:scatterChart>
        <c:scatterStyle val="lineMarker"/>
        <c:varyColors val="0"/>
        <c:ser>
          <c:idx val="0"/>
          <c:order val="0"/>
          <c:tx>
            <c:strRef>
              <c:f>'Analyse indiv'!$J$6</c:f>
              <c:strCache>
                <c:ptCount val="1"/>
                <c:pt idx="0">
                  <c:v>Gesamtkosten kumuliert in EUR</c:v>
                </c:pt>
              </c:strCache>
            </c:strRef>
          </c:tx>
          <c:spPr>
            <a:ln w="28575" cap="rnd">
              <a:solidFill>
                <a:srgbClr val="C00000"/>
              </a:solidFill>
              <a:round/>
            </a:ln>
            <a:effectLst/>
          </c:spPr>
          <c:marker>
            <c:symbol val="circle"/>
            <c:size val="3"/>
            <c:spPr>
              <a:solidFill>
                <a:srgbClr val="C00000"/>
              </a:solidFill>
              <a:ln w="9525">
                <a:solidFill>
                  <a:srgbClr val="C00000">
                    <a:alpha val="96000"/>
                  </a:srgbClr>
                </a:solidFill>
              </a:ln>
              <a:effectLst/>
            </c:spPr>
          </c:marker>
          <c:xVal>
            <c:numRef>
              <c:f>'Analyse indiv'!$B$26:$B$49</c:f>
              <c:numCache>
                <c:formatCode>General</c:formatCode>
                <c:ptCount val="24"/>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numCache>
            </c:numRef>
          </c:xVal>
          <c:yVal>
            <c:numRef>
              <c:f>'Analyse indiv'!$N$26:$N$49</c:f>
              <c:numCache>
                <c:formatCode>General</c:formatCode>
                <c:ptCount val="24"/>
                <c:pt idx="0">
                  <c:v>43.524931506849313</c:v>
                </c:pt>
                <c:pt idx="1">
                  <c:v>87.706027397260272</c:v>
                </c:pt>
                <c:pt idx="2">
                  <c:v>149.78123287671232</c:v>
                </c:pt>
                <c:pt idx="3">
                  <c:v>198.97098630136986</c:v>
                </c:pt>
                <c:pt idx="4">
                  <c:v>244.16358904109589</c:v>
                </c:pt>
                <c:pt idx="5">
                  <c:v>290.2215205479452</c:v>
                </c:pt>
                <c:pt idx="6">
                  <c:v>335.14761643835618</c:v>
                </c:pt>
                <c:pt idx="7">
                  <c:v>379.71554794520551</c:v>
                </c:pt>
                <c:pt idx="8">
                  <c:v>426.34080821917814</c:v>
                </c:pt>
                <c:pt idx="9">
                  <c:v>472.04057534246579</c:v>
                </c:pt>
                <c:pt idx="10">
                  <c:v>518.96383561643836</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numCache>
            </c:numRef>
          </c:yVal>
          <c:smooth val="0"/>
          <c:extLst>
            <c:ext xmlns:c16="http://schemas.microsoft.com/office/drawing/2014/chart" uri="{C3380CC4-5D6E-409C-BE32-E72D297353CC}">
              <c16:uniqueId val="{00000000-0293-4590-9CDF-A0B1CDBB5008}"/>
            </c:ext>
          </c:extLst>
        </c:ser>
        <c:dLbls>
          <c:showLegendKey val="0"/>
          <c:showVal val="0"/>
          <c:showCatName val="0"/>
          <c:showSerName val="0"/>
          <c:showPercent val="0"/>
          <c:showBubbleSize val="0"/>
        </c:dLbls>
        <c:axId val="1917037776"/>
        <c:axId val="1917035696"/>
      </c:scatterChart>
      <c:valAx>
        <c:axId val="1917037776"/>
        <c:scaling>
          <c:orientation val="minMax"/>
          <c:max val="24"/>
          <c:min val="0"/>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1917035696"/>
        <c:crosses val="autoZero"/>
        <c:crossBetween val="midCat"/>
        <c:majorUnit val="4"/>
      </c:valAx>
      <c:valAx>
        <c:axId val="1917035696"/>
        <c:scaling>
          <c:orientation val="minMax"/>
        </c:scaling>
        <c:delete val="0"/>
        <c:axPos val="l"/>
        <c:majorGridlines>
          <c:spPr>
            <a:ln w="9525" cap="flat" cmpd="sng" algn="ctr">
              <a:solidFill>
                <a:schemeClr val="accent6">
                  <a:lumMod val="40000"/>
                  <a:lumOff val="60000"/>
                </a:schemeClr>
              </a:solidFill>
              <a:round/>
            </a:ln>
            <a:effectLst/>
          </c:spPr>
        </c:majorGridlines>
        <c:numFmt formatCode="#,##0.0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1917037776"/>
        <c:crosses val="autoZero"/>
        <c:crossBetween val="midCat"/>
      </c:valAx>
      <c:spPr>
        <a:noFill/>
        <a:ln>
          <a:noFill/>
        </a:ln>
        <a:effectLst/>
      </c:spPr>
    </c:plotArea>
    <c:legend>
      <c:legendPos val="b"/>
      <c:layout>
        <c:manualLayout>
          <c:xMode val="edge"/>
          <c:yMode val="edge"/>
          <c:x val="0.2864121142285152"/>
          <c:y val="0.92085906969112408"/>
          <c:w val="0.40589090443517173"/>
          <c:h val="6.0626599770019392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2.jpg"/><Relationship Id="rId3" Type="http://schemas.openxmlformats.org/officeDocument/2006/relationships/image" Target="../media/image1.png"/><Relationship Id="rId7" Type="http://schemas.openxmlformats.org/officeDocument/2006/relationships/hyperlink" Target="https://ko-fi.com/controllerspielwiese" TargetMode="External"/><Relationship Id="rId2" Type="http://schemas.openxmlformats.org/officeDocument/2006/relationships/hyperlink" Target="https://www.controllerspielwiese.de/" TargetMode="External"/><Relationship Id="rId1" Type="http://schemas.openxmlformats.org/officeDocument/2006/relationships/hyperlink" Target="mailto:service@controllerspielwiese.de?subject=Excel-Tool%20Stromverbrauchsrechner%20f&#252;r%20EUR%204,99%20erwerben" TargetMode="External"/><Relationship Id="rId6" Type="http://schemas.openxmlformats.org/officeDocument/2006/relationships/hyperlink" Target="#Erstens"/><Relationship Id="rId5" Type="http://schemas.openxmlformats.org/officeDocument/2006/relationships/chart" Target="../charts/chart2.xm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hyperlink" Target="https://ko-fi.com/controllerspielwiese" TargetMode="External"/><Relationship Id="rId2" Type="http://schemas.openxmlformats.org/officeDocument/2006/relationships/image" Target="../media/image1.png"/><Relationship Id="rId1" Type="http://schemas.openxmlformats.org/officeDocument/2006/relationships/hyperlink" Target="https://www.controllerspielwiese.de/" TargetMode="External"/><Relationship Id="rId6" Type="http://schemas.openxmlformats.org/officeDocument/2006/relationships/hyperlink" Target="mailto:service@controllerspielwiese.de?subject=Excel-Tool%20Stromverbrauchsrechner%20f&#252;r%20EUR%204,99%20erwerben" TargetMode="External"/><Relationship Id="rId5" Type="http://schemas.openxmlformats.org/officeDocument/2006/relationships/hyperlink" Target="#Erstens"/><Relationship Id="rId4" Type="http://schemas.openxmlformats.org/officeDocument/2006/relationships/chart" Target="../charts/chart4.xml"/><Relationship Id="rId9"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absolute">
    <xdr:from>
      <xdr:col>15</xdr:col>
      <xdr:colOff>28575</xdr:colOff>
      <xdr:row>0</xdr:row>
      <xdr:rowOff>38099</xdr:rowOff>
    </xdr:from>
    <xdr:to>
      <xdr:col>19</xdr:col>
      <xdr:colOff>504825</xdr:colOff>
      <xdr:row>30</xdr:row>
      <xdr:rowOff>38100</xdr:rowOff>
    </xdr:to>
    <xdr:sp macro="" textlink="">
      <xdr:nvSpPr>
        <xdr:cNvPr id="9" name="Textfeld 8">
          <a:hlinkClick xmlns:r="http://schemas.openxmlformats.org/officeDocument/2006/relationships" r:id="rId1"/>
        </xdr:cNvPr>
        <xdr:cNvSpPr txBox="1">
          <a:spLocks noChangeAspect="1"/>
        </xdr:cNvSpPr>
      </xdr:nvSpPr>
      <xdr:spPr>
        <a:xfrm>
          <a:off x="11831955" y="38099"/>
          <a:ext cx="3829050" cy="5166361"/>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Mit diesen beiden Tools können die Verbräuche von einem Stromzähler im Zeitablauf erfasst und visualisiert werden. Es ist eine Version für die Eingabe von 12 Monatsendwerten und eine Version für individuelle Ablesetermine enthalten. Beide enthalten Grafik zur besseren Veranschaulichung der Verbrauchs- und Kostenverläufe.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Gerne können Sie für </a:t>
          </a:r>
          <a:r>
            <a:rPr kumimoji="0" lang="de-DE" sz="1100" b="1" i="0" u="none" strike="noStrike" kern="0" cap="none" spc="0" normalizeH="0" baseline="0" noProof="0">
              <a:ln>
                <a:noFill/>
              </a:ln>
              <a:solidFill>
                <a:sysClr val="windowText" lastClr="000000"/>
              </a:solidFill>
              <a:effectLst/>
              <a:uLnTx/>
              <a:uFillTx/>
              <a:latin typeface="Calibri" panose="020F0502020204030204"/>
              <a:ea typeface="+mn-ea"/>
              <a:cs typeface="+mn-cs"/>
            </a:rPr>
            <a:t>EUR 4,99 inkl. MwSt.</a:t>
          </a: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 eine Datei ohne Blattschutz erwerben: </a:t>
          </a:r>
          <a:r>
            <a:rPr lang="de-DE" sz="1100" b="0" i="0" baseline="0">
              <a:effectLst/>
              <a:latin typeface="+mn-lt"/>
              <a:ea typeface="+mn-ea"/>
              <a:cs typeface="+mn-cs"/>
            </a:rPr>
            <a:t>Senden Sie hierzu eine E-Mail an </a:t>
          </a:r>
          <a:r>
            <a:rPr lang="de-DE" sz="1100" b="1" i="0" u="sng" baseline="0">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"Stromverbrauchsrechner für EUR 4,99 kaufen". Wir senden Ihnen die Premiumversion zusammen mit Ihrer Rechnung inkl. MwSt. umgehend während unserer Bürozeiten per E-Mail zu.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eaLnBrk="1" fontAlgn="auto" latinLnBrk="0" hangingPunct="1"/>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gerne auch mit einem Kaffee unterstützen:</a:t>
          </a:r>
          <a:endParaRPr lang="de-DE">
            <a:effectLst/>
          </a:endParaRPr>
        </a:p>
        <a:p>
          <a:pPr eaLnBrk="1" fontAlgn="auto" latinLnBrk="0" hangingPunct="1"/>
          <a:endParaRPr lang="de-DE" sz="600">
            <a:effectLst/>
            <a:latin typeface="+mn-lt"/>
            <a:ea typeface="+mn-ea"/>
            <a:cs typeface="+mn-cs"/>
          </a:endParaRPr>
        </a:p>
        <a:p>
          <a:pPr eaLnBrk="1" fontAlgn="auto" latinLnBrk="0" hangingPunct="1"/>
          <a:r>
            <a:rPr lang="de-DE" sz="1100">
              <a:effectLst/>
              <a:latin typeface="+mn-lt"/>
              <a:ea typeface="+mn-ea"/>
              <a:cs typeface="+mn-cs"/>
            </a:rPr>
            <a:t>Ihr Service-Team</a:t>
          </a:r>
          <a:r>
            <a:rPr lang="de-DE" sz="1100" baseline="0">
              <a:effectLst/>
              <a:latin typeface="+mn-lt"/>
              <a:ea typeface="+mn-ea"/>
              <a:cs typeface="+mn-cs"/>
            </a:rPr>
            <a:t> der</a:t>
          </a:r>
          <a:endParaRPr lang="de-DE">
            <a:effectLst/>
          </a:endParaRPr>
        </a:p>
        <a:p>
          <a:pPr eaLnBrk="1" fontAlgn="auto" latinLnBrk="0" hangingPunct="1"/>
          <a:r>
            <a:rPr lang="de-DE" sz="1100" baseline="0">
              <a:effectLst/>
              <a:latin typeface="+mn-lt"/>
              <a:ea typeface="+mn-ea"/>
              <a:cs typeface="+mn-cs"/>
            </a:rPr>
            <a:t>ControllerSpielwiese</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xdr:txBody>
    </xdr:sp>
    <xdr:clientData fPrintsWithSheet="0"/>
  </xdr:twoCellAnchor>
  <xdr:twoCellAnchor editAs="oneCell">
    <xdr:from>
      <xdr:col>10</xdr:col>
      <xdr:colOff>579119</xdr:colOff>
      <xdr:row>1</xdr:row>
      <xdr:rowOff>66675</xdr:rowOff>
    </xdr:from>
    <xdr:to>
      <xdr:col>13</xdr:col>
      <xdr:colOff>723899</xdr:colOff>
      <xdr:row>3</xdr:row>
      <xdr:rowOff>118423</xdr:rowOff>
    </xdr:to>
    <xdr:pic>
      <xdr:nvPicPr>
        <xdr:cNvPr id="2" name="Grafik 2">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08694" y="104775"/>
          <a:ext cx="2487930" cy="489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7620</xdr:colOff>
      <xdr:row>6</xdr:row>
      <xdr:rowOff>22860</xdr:rowOff>
    </xdr:from>
    <xdr:to>
      <xdr:col>8</xdr:col>
      <xdr:colOff>594360</xdr:colOff>
      <xdr:row>21</xdr:row>
      <xdr:rowOff>175260</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762000</xdr:colOff>
      <xdr:row>6</xdr:row>
      <xdr:rowOff>7620</xdr:rowOff>
    </xdr:from>
    <xdr:to>
      <xdr:col>13</xdr:col>
      <xdr:colOff>784860</xdr:colOff>
      <xdr:row>21</xdr:row>
      <xdr:rowOff>175260</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9525</xdr:colOff>
      <xdr:row>1</xdr:row>
      <xdr:rowOff>76201</xdr:rowOff>
    </xdr:from>
    <xdr:to>
      <xdr:col>10</xdr:col>
      <xdr:colOff>371475</xdr:colOff>
      <xdr:row>3</xdr:row>
      <xdr:rowOff>104775</xdr:rowOff>
    </xdr:to>
    <xdr:sp macro="" textlink="$G$2">
      <xdr:nvSpPr>
        <xdr:cNvPr id="6" name="Textfeld 5"/>
        <xdr:cNvSpPr txBox="1"/>
      </xdr:nvSpPr>
      <xdr:spPr>
        <a:xfrm>
          <a:off x="4914900" y="114301"/>
          <a:ext cx="3486150" cy="466724"/>
        </a:xfrm>
        <a:prstGeom prst="rect">
          <a:avLst/>
        </a:prstGeom>
        <a:solidFill>
          <a:schemeClr val="accent6">
            <a:lumMod val="60000"/>
            <a:lumOff val="40000"/>
          </a:schemeClr>
        </a:solidFill>
        <a:ln w="12700" cmpd="sng">
          <a:solidFill>
            <a:schemeClr val="accent6">
              <a:lumMod val="75000"/>
            </a:schemeClr>
          </a:solidFill>
        </a:ln>
        <a:effectLst>
          <a:glow rad="50800">
            <a:schemeClr val="accent6">
              <a:lumMod val="75000"/>
              <a:alpha val="30000"/>
            </a:schemeClr>
          </a:glow>
          <a:outerShdw blurRad="50800" dist="25400" dir="2700000" algn="tl" rotWithShape="0">
            <a:schemeClr val="tx1">
              <a:alpha val="40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E052A50D-7BF3-4B5C-8F21-AA59528646EC}" type="TxLink">
            <a:rPr lang="en-US" sz="1100" b="1" i="0" u="none" strike="noStrike">
              <a:solidFill>
                <a:srgbClr val="920000"/>
              </a:solidFill>
              <a:latin typeface="Arial" panose="020B0604020202020204" pitchFamily="34" charset="0"/>
              <a:cs typeface="Arial" panose="020B0604020202020204" pitchFamily="34" charset="0"/>
            </a:rPr>
            <a:pPr algn="ctr"/>
            <a:t>erwarteter Verbrauch zum Jahresende: 1957 kWh   voraussichtliche Nachzahlung: 21,75 EUR</a:t>
          </a:fld>
          <a:endParaRPr lang="de-DE" sz="1100" b="1">
            <a:solidFill>
              <a:srgbClr val="920000"/>
            </a:solidFill>
            <a:latin typeface="Arial" panose="020B0604020202020204" pitchFamily="34" charset="0"/>
            <a:cs typeface="Arial" panose="020B0604020202020204" pitchFamily="34" charset="0"/>
          </a:endParaRPr>
        </a:p>
      </xdr:txBody>
    </xdr:sp>
    <xdr:clientData/>
  </xdr:twoCellAnchor>
  <xdr:twoCellAnchor>
    <xdr:from>
      <xdr:col>14</xdr:col>
      <xdr:colOff>523875</xdr:colOff>
      <xdr:row>52</xdr:row>
      <xdr:rowOff>9525</xdr:rowOff>
    </xdr:from>
    <xdr:to>
      <xdr:col>14</xdr:col>
      <xdr:colOff>609600</xdr:colOff>
      <xdr:row>52</xdr:row>
      <xdr:rowOff>153525</xdr:rowOff>
    </xdr:to>
    <xdr:sp macro="" textlink="">
      <xdr:nvSpPr>
        <xdr:cNvPr id="7" name="Pfeil nach oben 6">
          <a:hlinkClick xmlns:r="http://schemas.openxmlformats.org/officeDocument/2006/relationships" r:id="rId6"/>
          <a:extLst>
            <a:ext uri="{FF2B5EF4-FFF2-40B4-BE49-F238E27FC236}">
              <a16:creationId xmlns:a16="http://schemas.microsoft.com/office/drawing/2014/main" id="{00000000-0008-0000-0C00-000005000000}"/>
            </a:ext>
          </a:extLst>
        </xdr:cNvPr>
        <xdr:cNvSpPr/>
      </xdr:nvSpPr>
      <xdr:spPr>
        <a:xfrm>
          <a:off x="11677650" y="9001125"/>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17</xdr:col>
      <xdr:colOff>198119</xdr:colOff>
      <xdr:row>26</xdr:row>
      <xdr:rowOff>57911</xdr:rowOff>
    </xdr:from>
    <xdr:to>
      <xdr:col>19</xdr:col>
      <xdr:colOff>226694</xdr:colOff>
      <xdr:row>29</xdr:row>
      <xdr:rowOff>146811</xdr:rowOff>
    </xdr:to>
    <xdr:pic>
      <xdr:nvPicPr>
        <xdr:cNvPr id="11" name="Grafik 10">
          <a:hlinkClick xmlns:r="http://schemas.openxmlformats.org/officeDocument/2006/relationships" r:id="rId7"/>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677899" y="4675631"/>
          <a:ext cx="1704975" cy="454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1045844</xdr:colOff>
      <xdr:row>1</xdr:row>
      <xdr:rowOff>76200</xdr:rowOff>
    </xdr:from>
    <xdr:to>
      <xdr:col>12</xdr:col>
      <xdr:colOff>1133474</xdr:colOff>
      <xdr:row>3</xdr:row>
      <xdr:rowOff>127948</xdr:rowOff>
    </xdr:to>
    <xdr:pic>
      <xdr:nvPicPr>
        <xdr:cNvPr id="2"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51544" y="114300"/>
          <a:ext cx="2487930" cy="4898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104776</xdr:colOff>
      <xdr:row>6</xdr:row>
      <xdr:rowOff>19049</xdr:rowOff>
    </xdr:from>
    <xdr:to>
      <xdr:col>9</xdr:col>
      <xdr:colOff>66675</xdr:colOff>
      <xdr:row>21</xdr:row>
      <xdr:rowOff>200024</xdr:rowOff>
    </xdr:to>
    <xdr:graphicFrame macro="">
      <xdr:nvGraphicFramePr>
        <xdr:cNvPr id="6" name="Diagramm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571500</xdr:colOff>
      <xdr:row>6</xdr:row>
      <xdr:rowOff>28574</xdr:rowOff>
    </xdr:from>
    <xdr:to>
      <xdr:col>13</xdr:col>
      <xdr:colOff>0</xdr:colOff>
      <xdr:row>22</xdr:row>
      <xdr:rowOff>0</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581025</xdr:colOff>
      <xdr:row>48</xdr:row>
      <xdr:rowOff>9525</xdr:rowOff>
    </xdr:from>
    <xdr:to>
      <xdr:col>14</xdr:col>
      <xdr:colOff>666750</xdr:colOff>
      <xdr:row>48</xdr:row>
      <xdr:rowOff>153525</xdr:rowOff>
    </xdr:to>
    <xdr:sp macro="" textlink="">
      <xdr:nvSpPr>
        <xdr:cNvPr id="5" name="Pfeil nach oben 4">
          <a:hlinkClick xmlns:r="http://schemas.openxmlformats.org/officeDocument/2006/relationships" r:id="rId5"/>
          <a:extLst>
            <a:ext uri="{FF2B5EF4-FFF2-40B4-BE49-F238E27FC236}">
              <a16:creationId xmlns:a16="http://schemas.microsoft.com/office/drawing/2014/main" id="{00000000-0008-0000-0C00-000005000000}"/>
            </a:ext>
          </a:extLst>
        </xdr:cNvPr>
        <xdr:cNvSpPr/>
      </xdr:nvSpPr>
      <xdr:spPr>
        <a:xfrm>
          <a:off x="11734800" y="9001125"/>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absolute">
    <xdr:from>
      <xdr:col>15</xdr:col>
      <xdr:colOff>0</xdr:colOff>
      <xdr:row>1</xdr:row>
      <xdr:rowOff>0</xdr:rowOff>
    </xdr:from>
    <xdr:to>
      <xdr:col>19</xdr:col>
      <xdr:colOff>619125</xdr:colOff>
      <xdr:row>29</xdr:row>
      <xdr:rowOff>0</xdr:rowOff>
    </xdr:to>
    <xdr:sp macro="" textlink="">
      <xdr:nvSpPr>
        <xdr:cNvPr id="8" name="Textfeld 7">
          <a:hlinkClick xmlns:r="http://schemas.openxmlformats.org/officeDocument/2006/relationships" r:id="rId6"/>
        </xdr:cNvPr>
        <xdr:cNvSpPr txBox="1">
          <a:spLocks noChangeAspect="1"/>
        </xdr:cNvSpPr>
      </xdr:nvSpPr>
      <xdr:spPr>
        <a:xfrm>
          <a:off x="11972925" y="38100"/>
          <a:ext cx="3829050" cy="5324475"/>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Mit diesen beiden Tools können die Verbräuche von einem Stromzähler im Zeitablauf erfasst und visualisiert werden. Es ist eine Version für die Eingabe von 12 Monatsendwerten und eine Version für individuelle Ablesetermine enthalten. Beide enthalten Grafik zur besseren Veranschaulichung der Verbrauchs- und Kostenverläufe.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Datei wird weiter ergänzt und in neuen Versionen veröffentlicht. Für die Richtigkeit wird keine Gewährleistung übernommen. Für Anregungen und bei auftretenden Fehlern wenden Sie sich an den Service der ControllerSpielwiese.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Gerne können Sie für </a:t>
          </a:r>
          <a:r>
            <a:rPr kumimoji="0" lang="de-DE" sz="1100" b="1" i="0" u="none" strike="noStrike" kern="0" cap="none" spc="0" normalizeH="0" baseline="0" noProof="0">
              <a:ln>
                <a:noFill/>
              </a:ln>
              <a:solidFill>
                <a:sysClr val="windowText" lastClr="000000"/>
              </a:solidFill>
              <a:effectLst/>
              <a:uLnTx/>
              <a:uFillTx/>
              <a:latin typeface="Calibri" panose="020F0502020204030204"/>
              <a:ea typeface="+mn-ea"/>
              <a:cs typeface="+mn-cs"/>
            </a:rPr>
            <a:t>EUR 4,99 inkl. MwSt.</a:t>
          </a: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 eine Datei ohne Blattschutz erwerben: </a:t>
          </a:r>
          <a:r>
            <a:rPr lang="de-DE" sz="1100" b="0" i="0" baseline="0">
              <a:effectLst/>
              <a:latin typeface="+mn-lt"/>
              <a:ea typeface="+mn-ea"/>
              <a:cs typeface="+mn-cs"/>
            </a:rPr>
            <a:t>Senden Sie hierzu eine E-Mail an </a:t>
          </a:r>
          <a:r>
            <a:rPr lang="de-DE" sz="1100" b="1" i="0" u="sng" baseline="0">
              <a:effectLst/>
              <a:latin typeface="+mn-lt"/>
              <a:ea typeface="+mn-ea"/>
              <a:cs typeface="+mn-cs"/>
            </a:rPr>
            <a:t>service@controllerspielwiese.de</a:t>
          </a:r>
          <a:r>
            <a:rPr lang="de-DE" sz="1100" b="0" i="0" baseline="0">
              <a:effectLst/>
              <a:latin typeface="+mn-lt"/>
              <a:ea typeface="+mn-ea"/>
              <a:cs typeface="+mn-cs"/>
            </a:rPr>
            <a:t> mit Ihrer </a:t>
          </a:r>
          <a:r>
            <a:rPr lang="de-DE" sz="1100" b="1" i="0" baseline="0">
              <a:effectLst/>
              <a:latin typeface="+mn-lt"/>
              <a:ea typeface="+mn-ea"/>
              <a:cs typeface="+mn-cs"/>
            </a:rPr>
            <a:t>Rechnungsadresse</a:t>
          </a:r>
          <a:r>
            <a:rPr lang="de-DE" sz="1100" b="0" i="0" baseline="0">
              <a:effectLst/>
              <a:latin typeface="+mn-lt"/>
              <a:ea typeface="+mn-ea"/>
              <a:cs typeface="+mn-cs"/>
            </a:rPr>
            <a:t> und dem Betreff "Stromverbrauchsrechner für EUR 4,99 kaufen". Wir senden Ihnen die Premiumversion zusammen mit Ihrer Rechnung inkl. MwSt. umgehend während unserer Bürozeiten per E-Mail zu. </a:t>
          </a: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eaLnBrk="1" fontAlgn="auto" latinLnBrk="0" hangingPunct="1"/>
          <a:r>
            <a:rPr lang="de-DE" sz="1100">
              <a:effectLst/>
              <a:latin typeface="+mn-lt"/>
              <a:ea typeface="+mn-ea"/>
              <a:cs typeface="+mn-cs"/>
            </a:rPr>
            <a:t>Wenn</a:t>
          </a:r>
          <a:r>
            <a:rPr lang="de-DE" sz="1100" baseline="0">
              <a:effectLst/>
              <a:latin typeface="+mn-lt"/>
              <a:ea typeface="+mn-ea"/>
              <a:cs typeface="+mn-cs"/>
            </a:rPr>
            <a:t> Ihnen gefällt, was wir hier gemacht haben, können Sie unsere Arbeit gerne auch mit einem Kaffee unterstützen:</a:t>
          </a:r>
          <a:endParaRPr lang="de-DE">
            <a:effectLst/>
          </a:endParaRPr>
        </a:p>
        <a:p>
          <a:pPr eaLnBrk="1" fontAlgn="auto" latinLnBrk="0" hangingPunct="1"/>
          <a:endParaRPr lang="de-DE" sz="600">
            <a:effectLst/>
            <a:latin typeface="+mn-lt"/>
            <a:ea typeface="+mn-ea"/>
            <a:cs typeface="+mn-cs"/>
          </a:endParaRPr>
        </a:p>
        <a:p>
          <a:pPr eaLnBrk="1" fontAlgn="auto" latinLnBrk="0" hangingPunct="1"/>
          <a:r>
            <a:rPr lang="de-DE" sz="1100">
              <a:effectLst/>
              <a:latin typeface="+mn-lt"/>
              <a:ea typeface="+mn-ea"/>
              <a:cs typeface="+mn-cs"/>
            </a:rPr>
            <a:t>Ihr Service-Team</a:t>
          </a:r>
          <a:r>
            <a:rPr lang="de-DE" sz="1100" baseline="0">
              <a:effectLst/>
              <a:latin typeface="+mn-lt"/>
              <a:ea typeface="+mn-ea"/>
              <a:cs typeface="+mn-cs"/>
            </a:rPr>
            <a:t> der</a:t>
          </a:r>
          <a:endParaRPr lang="de-DE">
            <a:effectLst/>
          </a:endParaRPr>
        </a:p>
        <a:p>
          <a:pPr eaLnBrk="1" fontAlgn="auto" latinLnBrk="0" hangingPunct="1"/>
          <a:r>
            <a:rPr lang="de-DE" sz="1100" baseline="0">
              <a:effectLst/>
              <a:latin typeface="+mn-lt"/>
              <a:ea typeface="+mn-ea"/>
              <a:cs typeface="+mn-cs"/>
            </a:rPr>
            <a:t>ControllerSpielwiese</a:t>
          </a:r>
          <a:endParaRPr lang="de-D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100" b="0" i="0" baseline="0">
            <a:effectLst/>
            <a:latin typeface="+mn-lt"/>
            <a:ea typeface="+mn-ea"/>
            <a:cs typeface="+mn-cs"/>
          </a:endParaRPr>
        </a:p>
      </xdr:txBody>
    </xdr:sp>
    <xdr:clientData fPrintsWithSheet="0"/>
  </xdr:twoCellAnchor>
  <xdr:twoCellAnchor editAs="oneCell">
    <xdr:from>
      <xdr:col>9</xdr:col>
      <xdr:colOff>38100</xdr:colOff>
      <xdr:row>1</xdr:row>
      <xdr:rowOff>123825</xdr:rowOff>
    </xdr:from>
    <xdr:to>
      <xdr:col>10</xdr:col>
      <xdr:colOff>752475</xdr:colOff>
      <xdr:row>3</xdr:row>
      <xdr:rowOff>35719</xdr:rowOff>
    </xdr:to>
    <xdr:pic>
      <xdr:nvPicPr>
        <xdr:cNvPr id="14" name="Grafik 13" descr="Wenn meine Vorlagen weiterhelfen konnten, lasse ich mich gerne auf einen Kaffee einladen ;)" title="Buy me a coffee">
          <a:hlinkClick xmlns:r="http://schemas.openxmlformats.org/officeDocument/2006/relationships" r:id="rId7"/>
        </xdr:cNvPr>
        <xdr:cNvPicPr>
          <a:picLocks noChangeAspect="1"/>
        </xdr:cNvPicPr>
      </xdr:nvPicPr>
      <xdr:blipFill>
        <a:blip xmlns:r="http://schemas.openxmlformats.org/officeDocument/2006/relationships" r:embed="rId8"/>
        <a:stretch>
          <a:fillRect/>
        </a:stretch>
      </xdr:blipFill>
      <xdr:spPr>
        <a:xfrm>
          <a:off x="6924675" y="161925"/>
          <a:ext cx="1400175" cy="350044"/>
        </a:xfrm>
        <a:prstGeom prst="rect">
          <a:avLst/>
        </a:prstGeom>
      </xdr:spPr>
    </xdr:pic>
    <xdr:clientData/>
  </xdr:twoCellAnchor>
  <xdr:twoCellAnchor editAs="absolute">
    <xdr:from>
      <xdr:col>17</xdr:col>
      <xdr:colOff>266700</xdr:colOff>
      <xdr:row>26</xdr:row>
      <xdr:rowOff>36195</xdr:rowOff>
    </xdr:from>
    <xdr:to>
      <xdr:col>19</xdr:col>
      <xdr:colOff>342900</xdr:colOff>
      <xdr:row>28</xdr:row>
      <xdr:rowOff>117475</xdr:rowOff>
    </xdr:to>
    <xdr:pic>
      <xdr:nvPicPr>
        <xdr:cNvPr id="11" name="Grafik 10">
          <a:hlinkClick xmlns:r="http://schemas.openxmlformats.org/officeDocument/2006/relationships" r:id="rId7"/>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3799820" y="4669155"/>
          <a:ext cx="1706880" cy="44704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O59"/>
  <sheetViews>
    <sheetView showGridLines="0" tabSelected="1" zoomScaleNormal="100" workbookViewId="0">
      <pane ySplit="22" topLeftCell="A23" activePane="bottomLeft" state="frozen"/>
      <selection pane="bottomLeft"/>
    </sheetView>
  </sheetViews>
  <sheetFormatPr baseColWidth="10" defaultColWidth="11" defaultRowHeight="14.25" x14ac:dyDescent="0.2"/>
  <cols>
    <col min="1" max="1" width="0.625" style="4" customWidth="1"/>
    <col min="2" max="2" width="22.75" style="4" customWidth="1"/>
    <col min="3" max="14" width="10.25" style="4" customWidth="1"/>
    <col min="15" max="15" width="9.25" style="4" customWidth="1"/>
    <col min="16" max="16384" width="11" style="4"/>
  </cols>
  <sheetData>
    <row r="1" spans="1:14" ht="3" customHeight="1" x14ac:dyDescent="0.2">
      <c r="A1" s="1"/>
    </row>
    <row r="2" spans="1:14" ht="26.25" x14ac:dyDescent="0.4">
      <c r="B2" s="5" t="s">
        <v>23</v>
      </c>
      <c r="C2" s="6"/>
      <c r="D2" s="6"/>
      <c r="E2" s="6"/>
      <c r="F2" s="6"/>
      <c r="G2" s="27" t="str">
        <f>"erwarteter Verbrauch zum Jahresende: "&amp;ROUND(SUM(C31:N31),0)&amp;" kWh  "&amp;" voraussichtliche Nachzahlung: "&amp;N53&amp;" EUR"</f>
        <v>erwarteter Verbrauch zum Jahresende: 1957 kWh   voraussichtliche Nachzahlung: 21,75 EUR</v>
      </c>
      <c r="H2" s="6"/>
      <c r="I2" s="6"/>
      <c r="J2" s="6"/>
      <c r="K2" s="6"/>
      <c r="L2" s="6"/>
      <c r="M2" s="6"/>
      <c r="N2" s="6"/>
    </row>
    <row r="3" spans="1:14" ht="8.4499999999999993" customHeight="1" x14ac:dyDescent="0.25">
      <c r="B3" s="7"/>
      <c r="C3" s="8"/>
      <c r="D3" s="8"/>
      <c r="E3" s="8"/>
      <c r="F3" s="8"/>
      <c r="G3" s="27" t="str">
        <f>"entspricht: "&amp;N53&amp;" EUR vorauss. Nachzahlung"</f>
        <v>entspricht: 21,75 EUR vorauss. Nachzahlung</v>
      </c>
      <c r="H3" s="8"/>
      <c r="I3" s="8"/>
      <c r="J3" s="8"/>
      <c r="K3" s="8"/>
      <c r="L3" s="8"/>
      <c r="M3" s="8"/>
      <c r="N3" s="8"/>
    </row>
    <row r="4" spans="1:14" ht="15" x14ac:dyDescent="0.25">
      <c r="B4" s="29">
        <v>45882</v>
      </c>
      <c r="C4" s="9" t="s">
        <v>5</v>
      </c>
      <c r="D4" s="2" t="s">
        <v>6</v>
      </c>
      <c r="E4" s="9" t="s">
        <v>10</v>
      </c>
      <c r="F4" s="3">
        <v>2025</v>
      </c>
      <c r="G4" s="28"/>
      <c r="H4" s="8"/>
      <c r="I4" s="8"/>
      <c r="J4" s="8"/>
      <c r="K4" s="8"/>
      <c r="L4" s="8"/>
      <c r="M4" s="8"/>
      <c r="N4" s="8"/>
    </row>
    <row r="5" spans="1:14" ht="7.5" customHeight="1" x14ac:dyDescent="0.25">
      <c r="B5" s="31"/>
      <c r="C5" s="31"/>
      <c r="D5" s="31"/>
      <c r="E5" s="31"/>
      <c r="F5" s="31"/>
      <c r="G5" s="31"/>
      <c r="H5" s="31"/>
      <c r="I5" s="31"/>
      <c r="J5" s="31"/>
      <c r="K5" s="31"/>
      <c r="L5" s="31"/>
      <c r="M5" s="31"/>
      <c r="N5" s="31"/>
    </row>
    <row r="6" spans="1:14" ht="15.75" x14ac:dyDescent="0.25">
      <c r="B6" s="13" t="s">
        <v>0</v>
      </c>
      <c r="C6" s="51"/>
      <c r="D6" s="52"/>
      <c r="E6" s="53" t="s">
        <v>59</v>
      </c>
      <c r="F6" s="54"/>
      <c r="G6" s="54"/>
      <c r="H6" s="54"/>
      <c r="I6" s="55"/>
      <c r="J6" s="53" t="s">
        <v>16</v>
      </c>
      <c r="K6" s="54"/>
      <c r="L6" s="54"/>
      <c r="M6" s="54"/>
      <c r="N6" s="54"/>
    </row>
    <row r="7" spans="1:14" ht="15" x14ac:dyDescent="0.25">
      <c r="B7" s="32" t="s">
        <v>38</v>
      </c>
      <c r="C7" s="85" t="s">
        <v>39</v>
      </c>
      <c r="D7" s="86"/>
      <c r="E7" s="31"/>
      <c r="F7" s="31"/>
      <c r="G7" s="31"/>
      <c r="H7" s="31"/>
      <c r="I7" s="31"/>
      <c r="J7" s="31"/>
      <c r="K7" s="31"/>
      <c r="L7" s="31"/>
      <c r="M7" s="31"/>
      <c r="N7" s="31"/>
    </row>
    <row r="8" spans="1:14" ht="15" x14ac:dyDescent="0.25">
      <c r="B8" s="32" t="s">
        <v>43</v>
      </c>
      <c r="C8" s="87">
        <v>123654</v>
      </c>
      <c r="D8" s="88"/>
      <c r="E8" s="31"/>
      <c r="F8" s="31"/>
      <c r="G8" s="31"/>
      <c r="H8" s="31"/>
      <c r="I8" s="31"/>
      <c r="J8" s="31"/>
      <c r="K8" s="31"/>
      <c r="L8" s="31"/>
      <c r="M8" s="31"/>
      <c r="N8" s="31"/>
    </row>
    <row r="9" spans="1:14" ht="15" x14ac:dyDescent="0.25">
      <c r="B9" s="32" t="s">
        <v>48</v>
      </c>
      <c r="C9" s="89" t="s">
        <v>40</v>
      </c>
      <c r="D9" s="90"/>
      <c r="E9" s="31"/>
      <c r="F9" s="31"/>
      <c r="G9" s="31"/>
      <c r="H9" s="31"/>
      <c r="I9" s="31"/>
      <c r="J9" s="31"/>
      <c r="K9" s="31"/>
      <c r="L9" s="31"/>
      <c r="M9" s="31"/>
      <c r="N9" s="31"/>
    </row>
    <row r="10" spans="1:14" ht="15" x14ac:dyDescent="0.25">
      <c r="B10" s="32" t="s">
        <v>1</v>
      </c>
      <c r="C10" s="77">
        <v>45658</v>
      </c>
      <c r="D10" s="78"/>
      <c r="E10" s="31"/>
      <c r="F10" s="31"/>
      <c r="G10" s="31"/>
      <c r="H10" s="31"/>
      <c r="I10" s="31"/>
      <c r="J10" s="31"/>
      <c r="K10" s="31"/>
      <c r="L10" s="31"/>
      <c r="M10" s="31"/>
      <c r="N10" s="31"/>
    </row>
    <row r="11" spans="1:14" ht="15" x14ac:dyDescent="0.25">
      <c r="B11" s="32" t="s">
        <v>2</v>
      </c>
      <c r="C11" s="77">
        <v>46022</v>
      </c>
      <c r="D11" s="78"/>
      <c r="E11" s="31"/>
      <c r="F11" s="31"/>
      <c r="G11" s="31"/>
      <c r="H11" s="31"/>
      <c r="I11" s="31"/>
      <c r="J11" s="31"/>
      <c r="K11" s="31"/>
      <c r="L11" s="31"/>
      <c r="M11" s="31"/>
      <c r="N11" s="31"/>
    </row>
    <row r="12" spans="1:14" ht="15" x14ac:dyDescent="0.25">
      <c r="B12" s="56" t="s">
        <v>44</v>
      </c>
      <c r="C12" s="91">
        <f>C11-C10</f>
        <v>364</v>
      </c>
      <c r="D12" s="92"/>
      <c r="E12" s="31"/>
      <c r="F12" s="31"/>
      <c r="G12" s="31"/>
      <c r="H12" s="31"/>
      <c r="I12" s="31"/>
      <c r="J12" s="31"/>
      <c r="K12" s="31"/>
      <c r="L12" s="31"/>
      <c r="M12" s="31"/>
      <c r="N12" s="31"/>
    </row>
    <row r="13" spans="1:14" ht="15" x14ac:dyDescent="0.25">
      <c r="B13" s="32" t="s">
        <v>45</v>
      </c>
      <c r="C13" s="83">
        <v>500</v>
      </c>
      <c r="D13" s="84"/>
      <c r="E13" s="31"/>
      <c r="F13" s="31"/>
      <c r="G13" s="31"/>
      <c r="H13" s="31"/>
      <c r="I13" s="31"/>
      <c r="J13" s="31"/>
      <c r="K13" s="31"/>
      <c r="L13" s="31"/>
      <c r="M13" s="31"/>
      <c r="N13" s="31"/>
    </row>
    <row r="14" spans="1:14" ht="15" x14ac:dyDescent="0.25">
      <c r="B14" s="32" t="s">
        <v>3</v>
      </c>
      <c r="C14" s="73">
        <v>300</v>
      </c>
      <c r="D14" s="74"/>
      <c r="E14" s="31"/>
      <c r="F14" s="31"/>
      <c r="G14" s="31"/>
      <c r="H14" s="31"/>
      <c r="I14" s="31"/>
      <c r="J14" s="31"/>
      <c r="K14" s="31"/>
      <c r="L14" s="31"/>
      <c r="M14" s="31"/>
      <c r="N14" s="31"/>
    </row>
    <row r="15" spans="1:14" ht="15" x14ac:dyDescent="0.25">
      <c r="B15" s="32" t="s">
        <v>8</v>
      </c>
      <c r="C15" s="75">
        <f>C14/12</f>
        <v>25</v>
      </c>
      <c r="D15" s="76"/>
      <c r="E15" s="31"/>
      <c r="F15" s="31"/>
      <c r="G15" s="31"/>
      <c r="H15" s="31"/>
      <c r="I15" s="31"/>
      <c r="J15" s="31"/>
      <c r="K15" s="31"/>
      <c r="L15" s="31"/>
      <c r="M15" s="31"/>
      <c r="N15" s="31"/>
    </row>
    <row r="16" spans="1:14" ht="15" x14ac:dyDescent="0.25">
      <c r="B16" s="56" t="s">
        <v>4</v>
      </c>
      <c r="C16" s="79">
        <f>C14/365</f>
        <v>0.82191780821917804</v>
      </c>
      <c r="D16" s="80"/>
      <c r="E16" s="31"/>
      <c r="F16" s="31"/>
      <c r="G16" s="31"/>
      <c r="H16" s="31"/>
      <c r="I16" s="31"/>
      <c r="J16" s="31"/>
      <c r="K16" s="31"/>
      <c r="L16" s="31"/>
      <c r="M16" s="31"/>
      <c r="N16" s="31"/>
    </row>
    <row r="17" spans="1:14" ht="15" x14ac:dyDescent="0.25">
      <c r="B17" s="32" t="s">
        <v>7</v>
      </c>
      <c r="C17" s="81">
        <v>0.15</v>
      </c>
      <c r="D17" s="82"/>
      <c r="E17" s="31"/>
      <c r="F17" s="31"/>
      <c r="G17" s="31"/>
      <c r="H17" s="31"/>
      <c r="I17" s="31"/>
      <c r="J17" s="31"/>
      <c r="K17" s="31"/>
      <c r="L17" s="31"/>
      <c r="M17" s="31"/>
      <c r="N17" s="31"/>
    </row>
    <row r="18" spans="1:14" ht="15" x14ac:dyDescent="0.25">
      <c r="B18" s="32" t="s">
        <v>14</v>
      </c>
      <c r="C18" s="83">
        <v>1800</v>
      </c>
      <c r="D18" s="84"/>
      <c r="E18" s="31"/>
      <c r="F18" s="31"/>
      <c r="G18" s="31"/>
      <c r="H18" s="31"/>
      <c r="I18" s="31"/>
      <c r="J18" s="31"/>
      <c r="K18" s="31"/>
      <c r="L18" s="31"/>
      <c r="M18" s="31"/>
      <c r="N18" s="31"/>
    </row>
    <row r="19" spans="1:14" ht="15" x14ac:dyDescent="0.25">
      <c r="B19" s="32" t="s">
        <v>15</v>
      </c>
      <c r="C19" s="75">
        <f>(C18*C17)+C14</f>
        <v>570</v>
      </c>
      <c r="D19" s="76"/>
      <c r="E19" s="31"/>
      <c r="F19" s="31"/>
      <c r="G19" s="31"/>
      <c r="H19" s="31"/>
      <c r="I19" s="31"/>
      <c r="J19" s="31"/>
      <c r="K19" s="31"/>
      <c r="L19" s="31"/>
      <c r="M19" s="31"/>
      <c r="N19" s="31"/>
    </row>
    <row r="20" spans="1:14" ht="15" x14ac:dyDescent="0.25">
      <c r="B20" s="32" t="s">
        <v>13</v>
      </c>
      <c r="C20" s="73">
        <f>C19/12</f>
        <v>47.5</v>
      </c>
      <c r="D20" s="74"/>
      <c r="E20" s="31"/>
      <c r="F20" s="31"/>
      <c r="G20" s="31"/>
      <c r="H20" s="31"/>
      <c r="I20" s="31"/>
      <c r="J20" s="31"/>
      <c r="K20" s="31"/>
      <c r="L20" s="31"/>
      <c r="M20" s="31"/>
      <c r="N20" s="31"/>
    </row>
    <row r="21" spans="1:14" ht="15" x14ac:dyDescent="0.25">
      <c r="B21" s="32" t="s">
        <v>24</v>
      </c>
      <c r="C21" s="75">
        <f>C20*12</f>
        <v>570</v>
      </c>
      <c r="D21" s="76"/>
      <c r="E21" s="31"/>
      <c r="F21" s="31"/>
      <c r="G21" s="31"/>
      <c r="H21" s="31"/>
      <c r="I21" s="31"/>
      <c r="J21" s="31"/>
      <c r="K21" s="31"/>
      <c r="L21" s="31"/>
      <c r="M21" s="31"/>
      <c r="N21" s="31"/>
    </row>
    <row r="22" spans="1:14" ht="15" x14ac:dyDescent="0.25">
      <c r="B22" s="31"/>
      <c r="C22" s="31"/>
      <c r="D22" s="31"/>
      <c r="E22" s="31"/>
      <c r="F22" s="31"/>
      <c r="G22" s="31"/>
      <c r="H22" s="31"/>
      <c r="I22" s="31"/>
      <c r="J22" s="31"/>
      <c r="K22" s="31"/>
      <c r="L22" s="31"/>
      <c r="M22" s="31"/>
      <c r="N22" s="31"/>
    </row>
    <row r="23" spans="1:14" ht="15.75" x14ac:dyDescent="0.25">
      <c r="A23" s="1"/>
      <c r="B23" s="35" t="s">
        <v>9</v>
      </c>
      <c r="C23" s="36"/>
      <c r="D23" s="36"/>
      <c r="E23" s="36"/>
      <c r="F23" s="36"/>
      <c r="G23" s="36"/>
      <c r="H23" s="36"/>
      <c r="I23" s="36"/>
      <c r="J23" s="36"/>
      <c r="K23" s="36"/>
      <c r="L23" s="36"/>
      <c r="M23" s="36"/>
      <c r="N23" s="36"/>
    </row>
    <row r="24" spans="1:14" ht="15" x14ac:dyDescent="0.25">
      <c r="B24" s="38" t="str">
        <f>"Zähler-Nr: "&amp;C8</f>
        <v>Zähler-Nr: 123654</v>
      </c>
      <c r="C24" s="39">
        <f>C10</f>
        <v>45658</v>
      </c>
      <c r="D24" s="39">
        <f>C24+31</f>
        <v>45689</v>
      </c>
      <c r="E24" s="39">
        <f t="shared" ref="E24:N24" si="0">D24+31</f>
        <v>45720</v>
      </c>
      <c r="F24" s="39">
        <f t="shared" si="0"/>
        <v>45751</v>
      </c>
      <c r="G24" s="39">
        <f t="shared" si="0"/>
        <v>45782</v>
      </c>
      <c r="H24" s="39">
        <f t="shared" si="0"/>
        <v>45813</v>
      </c>
      <c r="I24" s="39">
        <f t="shared" si="0"/>
        <v>45844</v>
      </c>
      <c r="J24" s="39">
        <f t="shared" si="0"/>
        <v>45875</v>
      </c>
      <c r="K24" s="39">
        <f t="shared" si="0"/>
        <v>45906</v>
      </c>
      <c r="L24" s="39">
        <f t="shared" si="0"/>
        <v>45937</v>
      </c>
      <c r="M24" s="39">
        <f t="shared" si="0"/>
        <v>45968</v>
      </c>
      <c r="N24" s="39">
        <f t="shared" si="0"/>
        <v>45999</v>
      </c>
    </row>
    <row r="25" spans="1:14" ht="15" x14ac:dyDescent="0.25">
      <c r="B25" s="32" t="s">
        <v>11</v>
      </c>
      <c r="C25" s="15">
        <v>45688</v>
      </c>
      <c r="D25" s="15">
        <v>45716</v>
      </c>
      <c r="E25" s="15">
        <v>45747</v>
      </c>
      <c r="F25" s="15">
        <v>45777</v>
      </c>
      <c r="G25" s="15">
        <v>45808</v>
      </c>
      <c r="H25" s="15">
        <v>45838</v>
      </c>
      <c r="I25" s="15">
        <v>45869</v>
      </c>
      <c r="J25" s="15">
        <v>45900</v>
      </c>
      <c r="K25" s="16"/>
      <c r="L25" s="16"/>
      <c r="M25" s="16"/>
      <c r="N25" s="16"/>
    </row>
    <row r="26" spans="1:14" ht="15" x14ac:dyDescent="0.25">
      <c r="B26" s="32" t="s">
        <v>12</v>
      </c>
      <c r="C26" s="20">
        <v>650</v>
      </c>
      <c r="D26" s="20">
        <v>810</v>
      </c>
      <c r="E26" s="20">
        <v>980</v>
      </c>
      <c r="F26" s="20">
        <v>1161</v>
      </c>
      <c r="G26" s="20">
        <v>1346</v>
      </c>
      <c r="H26" s="20">
        <v>1513</v>
      </c>
      <c r="I26" s="20">
        <v>1678</v>
      </c>
      <c r="J26" s="20">
        <v>1845</v>
      </c>
      <c r="K26" s="30"/>
      <c r="L26" s="30"/>
      <c r="M26" s="30"/>
      <c r="N26" s="30"/>
    </row>
    <row r="27" spans="1:14" ht="15" x14ac:dyDescent="0.25">
      <c r="B27" s="32" t="s">
        <v>22</v>
      </c>
      <c r="C27" s="57">
        <f>IF(C26="",0,C26-C13)</f>
        <v>150</v>
      </c>
      <c r="D27" s="57">
        <f>IF(D26="",0,D26-C26)</f>
        <v>160</v>
      </c>
      <c r="E27" s="57">
        <f t="shared" ref="E27:N27" si="1">IF(E26="",0,E26-D26)</f>
        <v>170</v>
      </c>
      <c r="F27" s="57">
        <f t="shared" si="1"/>
        <v>181</v>
      </c>
      <c r="G27" s="57">
        <f t="shared" si="1"/>
        <v>185</v>
      </c>
      <c r="H27" s="57">
        <f t="shared" si="1"/>
        <v>167</v>
      </c>
      <c r="I27" s="57">
        <f t="shared" si="1"/>
        <v>165</v>
      </c>
      <c r="J27" s="57">
        <f t="shared" si="1"/>
        <v>167</v>
      </c>
      <c r="K27" s="57">
        <f t="shared" si="1"/>
        <v>0</v>
      </c>
      <c r="L27" s="57">
        <f t="shared" si="1"/>
        <v>0</v>
      </c>
      <c r="M27" s="57">
        <f t="shared" si="1"/>
        <v>0</v>
      </c>
      <c r="N27" s="57">
        <f t="shared" si="1"/>
        <v>0</v>
      </c>
    </row>
    <row r="28" spans="1:14" ht="0.2" customHeight="1" x14ac:dyDescent="0.25">
      <c r="B28" s="58" t="s">
        <v>55</v>
      </c>
      <c r="C28" s="59">
        <f>IF(C26="",0,C26-C13)</f>
        <v>150</v>
      </c>
      <c r="D28" s="59">
        <f>IF(D26="",#N/A,D26-C26)</f>
        <v>160</v>
      </c>
      <c r="E28" s="59">
        <f t="shared" ref="E28:N28" si="2">IF(E26="",#N/A,E26-D26)</f>
        <v>170</v>
      </c>
      <c r="F28" s="59">
        <f t="shared" si="2"/>
        <v>181</v>
      </c>
      <c r="G28" s="59">
        <f t="shared" si="2"/>
        <v>185</v>
      </c>
      <c r="H28" s="59">
        <f t="shared" si="2"/>
        <v>167</v>
      </c>
      <c r="I28" s="59">
        <f t="shared" si="2"/>
        <v>165</v>
      </c>
      <c r="J28" s="59">
        <f t="shared" si="2"/>
        <v>167</v>
      </c>
      <c r="K28" s="59" t="e">
        <f t="shared" si="2"/>
        <v>#N/A</v>
      </c>
      <c r="L28" s="59" t="e">
        <f t="shared" si="2"/>
        <v>#N/A</v>
      </c>
      <c r="M28" s="59" t="e">
        <f t="shared" si="2"/>
        <v>#N/A</v>
      </c>
      <c r="N28" s="59" t="e">
        <f t="shared" si="2"/>
        <v>#N/A</v>
      </c>
    </row>
    <row r="29" spans="1:14" ht="15" x14ac:dyDescent="0.25">
      <c r="B29" s="32" t="s">
        <v>61</v>
      </c>
      <c r="C29" s="57">
        <f>IF(C26=0,0,C27)</f>
        <v>150</v>
      </c>
      <c r="D29" s="57">
        <f>IF(D26=0,0,(C29+D27)/2)</f>
        <v>155</v>
      </c>
      <c r="E29" s="57">
        <f>IF(E26=0,0,(D29+E27)/2)</f>
        <v>162.5</v>
      </c>
      <c r="F29" s="57">
        <f t="shared" ref="F29:N29" si="3">IF(F26=0,0,(E29+F27)/2)</f>
        <v>171.75</v>
      </c>
      <c r="G29" s="57">
        <f t="shared" si="3"/>
        <v>178.375</v>
      </c>
      <c r="H29" s="57">
        <f t="shared" si="3"/>
        <v>172.6875</v>
      </c>
      <c r="I29" s="57">
        <f t="shared" si="3"/>
        <v>168.84375</v>
      </c>
      <c r="J29" s="57">
        <f t="shared" si="3"/>
        <v>167.921875</v>
      </c>
      <c r="K29" s="57">
        <f t="shared" si="3"/>
        <v>0</v>
      </c>
      <c r="L29" s="57">
        <f t="shared" si="3"/>
        <v>0</v>
      </c>
      <c r="M29" s="57">
        <f t="shared" si="3"/>
        <v>0</v>
      </c>
      <c r="N29" s="57">
        <f t="shared" si="3"/>
        <v>0</v>
      </c>
    </row>
    <row r="30" spans="1:14" ht="15" x14ac:dyDescent="0.25">
      <c r="B30" s="32" t="s">
        <v>21</v>
      </c>
      <c r="C30" s="57">
        <f>IF(C27=0,0,C27)</f>
        <v>150</v>
      </c>
      <c r="D30" s="57">
        <f>IF(D27=0,0,C30+D27)</f>
        <v>310</v>
      </c>
      <c r="E30" s="57">
        <f t="shared" ref="E30:N30" si="4">IF(E27=0,0,D30+E27)</f>
        <v>480</v>
      </c>
      <c r="F30" s="57">
        <f t="shared" si="4"/>
        <v>661</v>
      </c>
      <c r="G30" s="57">
        <f t="shared" si="4"/>
        <v>846</v>
      </c>
      <c r="H30" s="57">
        <f t="shared" si="4"/>
        <v>1013</v>
      </c>
      <c r="I30" s="57">
        <f t="shared" si="4"/>
        <v>1178</v>
      </c>
      <c r="J30" s="57">
        <f t="shared" si="4"/>
        <v>1345</v>
      </c>
      <c r="K30" s="57">
        <f t="shared" si="4"/>
        <v>0</v>
      </c>
      <c r="L30" s="57">
        <f t="shared" si="4"/>
        <v>0</v>
      </c>
      <c r="M30" s="57">
        <f t="shared" si="4"/>
        <v>0</v>
      </c>
      <c r="N30" s="57">
        <f t="shared" si="4"/>
        <v>0</v>
      </c>
    </row>
    <row r="31" spans="1:14" ht="15" x14ac:dyDescent="0.25">
      <c r="B31" s="32" t="s">
        <v>60</v>
      </c>
      <c r="C31" s="57">
        <f>IF(C26=0,$C$18/12,C27)</f>
        <v>150</v>
      </c>
      <c r="D31" s="57">
        <f>IF(D26=0,C31,(D30)/MONTH(D24))</f>
        <v>155</v>
      </c>
      <c r="E31" s="57">
        <f>IF(E26=0,SUM(C31:D31)/2,(E30)/MONTH(E24))</f>
        <v>160</v>
      </c>
      <c r="F31" s="57">
        <f>IF(F26=0,SUM(C31:E31)/3,(F30)/MONTH(F24))</f>
        <v>165.25</v>
      </c>
      <c r="G31" s="57">
        <f>IF(G26=0,SUM(C31:F31)/4,(G30)/MONTH(G24))</f>
        <v>169.2</v>
      </c>
      <c r="H31" s="57">
        <f>IF(H26=0,SUM(C31:G31)/5,(H30)/MONTH(H24))</f>
        <v>168.83333333333334</v>
      </c>
      <c r="I31" s="57">
        <f>IF(I26=0,SUM(C31:H31)/6,(I30)/MONTH(I24))</f>
        <v>168.28571428571428</v>
      </c>
      <c r="J31" s="57">
        <f>IF(J26=0,SUM(C31:I31)/7,(J30)/MONTH(J24))</f>
        <v>168.125</v>
      </c>
      <c r="K31" s="57">
        <f>IF(K26=0,SUM(C31:J31)/8,(K30)/MONTH(K24))</f>
        <v>163.08675595238097</v>
      </c>
      <c r="L31" s="57">
        <f>IF(L26=0,SUM(C31:K31)/9,(L30)/MONTH(L24))</f>
        <v>163.08675595238097</v>
      </c>
      <c r="M31" s="57">
        <f>IF(M26=0,SUM(C31:L31)/10,(M30)/MONTH(M24))</f>
        <v>163.086755952381</v>
      </c>
      <c r="N31" s="57">
        <f>IF(N26=0,SUM(C31:M31)/11,(N30)/MONTH(N24))</f>
        <v>163.086755952381</v>
      </c>
    </row>
    <row r="32" spans="1:14" ht="15" x14ac:dyDescent="0.25">
      <c r="B32" s="32" t="s">
        <v>7</v>
      </c>
      <c r="C32" s="60">
        <f>IF(C26=0,0,$C$17)</f>
        <v>0.15</v>
      </c>
      <c r="D32" s="60">
        <f t="shared" ref="D32:N32" si="5">IF(D26=0,0,$C$17)</f>
        <v>0.15</v>
      </c>
      <c r="E32" s="60">
        <f t="shared" si="5"/>
        <v>0.15</v>
      </c>
      <c r="F32" s="60">
        <f t="shared" si="5"/>
        <v>0.15</v>
      </c>
      <c r="G32" s="60">
        <f t="shared" si="5"/>
        <v>0.15</v>
      </c>
      <c r="H32" s="60">
        <f t="shared" si="5"/>
        <v>0.15</v>
      </c>
      <c r="I32" s="60">
        <f t="shared" si="5"/>
        <v>0.15</v>
      </c>
      <c r="J32" s="60">
        <f t="shared" si="5"/>
        <v>0.15</v>
      </c>
      <c r="K32" s="60">
        <f t="shared" si="5"/>
        <v>0</v>
      </c>
      <c r="L32" s="60">
        <f t="shared" si="5"/>
        <v>0</v>
      </c>
      <c r="M32" s="60">
        <f t="shared" si="5"/>
        <v>0</v>
      </c>
      <c r="N32" s="60">
        <f t="shared" si="5"/>
        <v>0</v>
      </c>
    </row>
    <row r="33" spans="2:14" ht="15" x14ac:dyDescent="0.25">
      <c r="B33" s="32" t="s">
        <v>52</v>
      </c>
      <c r="C33" s="61">
        <f>C27*C32</f>
        <v>22.5</v>
      </c>
      <c r="D33" s="61">
        <f t="shared" ref="D33:N33" si="6">D27*D32</f>
        <v>24</v>
      </c>
      <c r="E33" s="61">
        <f t="shared" si="6"/>
        <v>25.5</v>
      </c>
      <c r="F33" s="61">
        <f t="shared" si="6"/>
        <v>27.15</v>
      </c>
      <c r="G33" s="61">
        <f t="shared" si="6"/>
        <v>27.75</v>
      </c>
      <c r="H33" s="61">
        <f t="shared" si="6"/>
        <v>25.05</v>
      </c>
      <c r="I33" s="61">
        <f t="shared" si="6"/>
        <v>24.75</v>
      </c>
      <c r="J33" s="61">
        <f t="shared" si="6"/>
        <v>25.05</v>
      </c>
      <c r="K33" s="61">
        <f t="shared" si="6"/>
        <v>0</v>
      </c>
      <c r="L33" s="61">
        <f t="shared" si="6"/>
        <v>0</v>
      </c>
      <c r="M33" s="61">
        <f t="shared" si="6"/>
        <v>0</v>
      </c>
      <c r="N33" s="61">
        <f t="shared" si="6"/>
        <v>0</v>
      </c>
    </row>
    <row r="34" spans="2:14" ht="0.2" customHeight="1" x14ac:dyDescent="0.25">
      <c r="B34" s="62" t="s">
        <v>56</v>
      </c>
      <c r="C34" s="63">
        <f t="shared" ref="C34:N34" si="7">IF(C27=0,#N/A,C27*C32)</f>
        <v>22.5</v>
      </c>
      <c r="D34" s="63">
        <f t="shared" si="7"/>
        <v>24</v>
      </c>
      <c r="E34" s="63">
        <f t="shared" si="7"/>
        <v>25.5</v>
      </c>
      <c r="F34" s="63">
        <f t="shared" si="7"/>
        <v>27.15</v>
      </c>
      <c r="G34" s="63">
        <f t="shared" si="7"/>
        <v>27.75</v>
      </c>
      <c r="H34" s="63">
        <f t="shared" si="7"/>
        <v>25.05</v>
      </c>
      <c r="I34" s="63">
        <f t="shared" si="7"/>
        <v>24.75</v>
      </c>
      <c r="J34" s="63">
        <f t="shared" si="7"/>
        <v>25.05</v>
      </c>
      <c r="K34" s="63" t="e">
        <f t="shared" si="7"/>
        <v>#N/A</v>
      </c>
      <c r="L34" s="63" t="e">
        <f t="shared" si="7"/>
        <v>#N/A</v>
      </c>
      <c r="M34" s="63" t="e">
        <f t="shared" si="7"/>
        <v>#N/A</v>
      </c>
      <c r="N34" s="63" t="e">
        <f t="shared" si="7"/>
        <v>#N/A</v>
      </c>
    </row>
    <row r="35" spans="2:14" ht="15" customHeight="1" x14ac:dyDescent="0.25">
      <c r="B35" s="32" t="s">
        <v>54</v>
      </c>
      <c r="C35" s="61">
        <f>IF(C26="",0,$C$15)</f>
        <v>25</v>
      </c>
      <c r="D35" s="61">
        <f t="shared" ref="D35:N35" si="8">IF(D26="",0,$C$15)</f>
        <v>25</v>
      </c>
      <c r="E35" s="61">
        <f t="shared" si="8"/>
        <v>25</v>
      </c>
      <c r="F35" s="61">
        <f t="shared" si="8"/>
        <v>25</v>
      </c>
      <c r="G35" s="61">
        <f t="shared" si="8"/>
        <v>25</v>
      </c>
      <c r="H35" s="61">
        <f t="shared" si="8"/>
        <v>25</v>
      </c>
      <c r="I35" s="61">
        <f t="shared" si="8"/>
        <v>25</v>
      </c>
      <c r="J35" s="61">
        <f t="shared" si="8"/>
        <v>25</v>
      </c>
      <c r="K35" s="61">
        <f t="shared" si="8"/>
        <v>0</v>
      </c>
      <c r="L35" s="61">
        <f t="shared" si="8"/>
        <v>0</v>
      </c>
      <c r="M35" s="61">
        <f t="shared" si="8"/>
        <v>0</v>
      </c>
      <c r="N35" s="61">
        <f t="shared" si="8"/>
        <v>0</v>
      </c>
    </row>
    <row r="36" spans="2:14" ht="0.2" customHeight="1" x14ac:dyDescent="0.25">
      <c r="B36" s="64" t="s">
        <v>57</v>
      </c>
      <c r="C36" s="63">
        <f>IF(C26="",#N/A,$C$15)</f>
        <v>25</v>
      </c>
      <c r="D36" s="63">
        <f t="shared" ref="D36:N36" si="9">IF(D26="",#N/A,$C$15)</f>
        <v>25</v>
      </c>
      <c r="E36" s="63">
        <f t="shared" si="9"/>
        <v>25</v>
      </c>
      <c r="F36" s="63">
        <f t="shared" si="9"/>
        <v>25</v>
      </c>
      <c r="G36" s="63">
        <f t="shared" si="9"/>
        <v>25</v>
      </c>
      <c r="H36" s="63">
        <f t="shared" si="9"/>
        <v>25</v>
      </c>
      <c r="I36" s="63">
        <f t="shared" si="9"/>
        <v>25</v>
      </c>
      <c r="J36" s="63">
        <f t="shared" si="9"/>
        <v>25</v>
      </c>
      <c r="K36" s="63" t="e">
        <f t="shared" si="9"/>
        <v>#N/A</v>
      </c>
      <c r="L36" s="63" t="e">
        <f t="shared" si="9"/>
        <v>#N/A</v>
      </c>
      <c r="M36" s="63" t="e">
        <f t="shared" si="9"/>
        <v>#N/A</v>
      </c>
      <c r="N36" s="63" t="e">
        <f t="shared" si="9"/>
        <v>#N/A</v>
      </c>
    </row>
    <row r="37" spans="2:14" ht="15" customHeight="1" x14ac:dyDescent="0.25">
      <c r="B37" s="32" t="s">
        <v>53</v>
      </c>
      <c r="C37" s="61">
        <f>C33+C35</f>
        <v>47.5</v>
      </c>
      <c r="D37" s="61">
        <f>D33+D35</f>
        <v>49</v>
      </c>
      <c r="E37" s="61">
        <f t="shared" ref="E37:N37" si="10">E33+E35</f>
        <v>50.5</v>
      </c>
      <c r="F37" s="61">
        <f t="shared" si="10"/>
        <v>52.15</v>
      </c>
      <c r="G37" s="61">
        <f t="shared" si="10"/>
        <v>52.75</v>
      </c>
      <c r="H37" s="61">
        <f>H33+H35</f>
        <v>50.05</v>
      </c>
      <c r="I37" s="61">
        <f t="shared" si="10"/>
        <v>49.75</v>
      </c>
      <c r="J37" s="61">
        <f t="shared" si="10"/>
        <v>50.05</v>
      </c>
      <c r="K37" s="61">
        <f>K33+K35</f>
        <v>0</v>
      </c>
      <c r="L37" s="61">
        <f t="shared" si="10"/>
        <v>0</v>
      </c>
      <c r="M37" s="61">
        <f t="shared" si="10"/>
        <v>0</v>
      </c>
      <c r="N37" s="61">
        <f t="shared" si="10"/>
        <v>0</v>
      </c>
    </row>
    <row r="38" spans="2:14" ht="0.2" customHeight="1" x14ac:dyDescent="0.25">
      <c r="B38" s="65" t="s">
        <v>58</v>
      </c>
      <c r="C38" s="63">
        <f>IF(C26="",#N/A,C33+C35)</f>
        <v>47.5</v>
      </c>
      <c r="D38" s="63">
        <f t="shared" ref="D38:N38" si="11">IF(D26="",#N/A,D33+D35)</f>
        <v>49</v>
      </c>
      <c r="E38" s="63">
        <f t="shared" si="11"/>
        <v>50.5</v>
      </c>
      <c r="F38" s="63">
        <f t="shared" si="11"/>
        <v>52.15</v>
      </c>
      <c r="G38" s="63">
        <f t="shared" si="11"/>
        <v>52.75</v>
      </c>
      <c r="H38" s="63">
        <f t="shared" si="11"/>
        <v>50.05</v>
      </c>
      <c r="I38" s="63">
        <f t="shared" si="11"/>
        <v>49.75</v>
      </c>
      <c r="J38" s="63">
        <f t="shared" si="11"/>
        <v>50.05</v>
      </c>
      <c r="K38" s="63" t="e">
        <f t="shared" si="11"/>
        <v>#N/A</v>
      </c>
      <c r="L38" s="63" t="e">
        <f t="shared" si="11"/>
        <v>#N/A</v>
      </c>
      <c r="M38" s="63" t="e">
        <f t="shared" si="11"/>
        <v>#N/A</v>
      </c>
      <c r="N38" s="63" t="e">
        <f t="shared" si="11"/>
        <v>#N/A</v>
      </c>
    </row>
    <row r="39" spans="2:14" ht="15" x14ac:dyDescent="0.25">
      <c r="B39" s="32" t="s">
        <v>20</v>
      </c>
      <c r="C39" s="61">
        <f>IF(C37=0,0,C37)</f>
        <v>47.5</v>
      </c>
      <c r="D39" s="61">
        <f>IF(D37=0,0,C39+D37)</f>
        <v>96.5</v>
      </c>
      <c r="E39" s="61">
        <f t="shared" ref="E39:N39" si="12">IF(E37=0,0,D39+E37)</f>
        <v>147</v>
      </c>
      <c r="F39" s="61">
        <f t="shared" si="12"/>
        <v>199.15</v>
      </c>
      <c r="G39" s="61">
        <f t="shared" si="12"/>
        <v>251.9</v>
      </c>
      <c r="H39" s="61">
        <f t="shared" si="12"/>
        <v>301.95</v>
      </c>
      <c r="I39" s="61">
        <f t="shared" si="12"/>
        <v>351.7</v>
      </c>
      <c r="J39" s="61">
        <f t="shared" si="12"/>
        <v>401.75</v>
      </c>
      <c r="K39" s="61">
        <f t="shared" si="12"/>
        <v>0</v>
      </c>
      <c r="L39" s="61">
        <f t="shared" si="12"/>
        <v>0</v>
      </c>
      <c r="M39" s="61">
        <f t="shared" si="12"/>
        <v>0</v>
      </c>
      <c r="N39" s="61">
        <f t="shared" si="12"/>
        <v>0</v>
      </c>
    </row>
    <row r="40" spans="2:14" ht="15" x14ac:dyDescent="0.25">
      <c r="B40" s="31"/>
      <c r="C40" s="31"/>
      <c r="D40" s="31"/>
      <c r="E40" s="31"/>
      <c r="F40" s="31"/>
      <c r="G40" s="31"/>
      <c r="H40" s="31"/>
      <c r="I40" s="31"/>
      <c r="J40" s="31"/>
      <c r="K40" s="31"/>
      <c r="L40" s="31"/>
      <c r="M40" s="31"/>
      <c r="N40" s="31"/>
    </row>
    <row r="41" spans="2:14" ht="15.75" x14ac:dyDescent="0.25">
      <c r="B41" s="35" t="s">
        <v>18</v>
      </c>
      <c r="C41" s="36"/>
      <c r="D41" s="36"/>
      <c r="E41" s="36"/>
      <c r="F41" s="36"/>
      <c r="G41" s="36"/>
      <c r="H41" s="36"/>
      <c r="I41" s="36"/>
      <c r="J41" s="36"/>
      <c r="K41" s="36"/>
      <c r="L41" s="36"/>
      <c r="M41" s="36"/>
      <c r="N41" s="36"/>
    </row>
    <row r="42" spans="2:14" ht="15" x14ac:dyDescent="0.25">
      <c r="B42" s="32" t="s">
        <v>17</v>
      </c>
      <c r="C42" s="57">
        <f>IF(C27=0,0,C27-($C$18/12))</f>
        <v>0</v>
      </c>
      <c r="D42" s="57">
        <f>IF(D27=0,0,D27-($C$18/12))</f>
        <v>10</v>
      </c>
      <c r="E42" s="57">
        <f t="shared" ref="E42:N42" si="13">IF(E27=0,0,E27-($C$18/12))</f>
        <v>20</v>
      </c>
      <c r="F42" s="57">
        <f t="shared" si="13"/>
        <v>31</v>
      </c>
      <c r="G42" s="57">
        <f t="shared" si="13"/>
        <v>35</v>
      </c>
      <c r="H42" s="57">
        <f t="shared" si="13"/>
        <v>17</v>
      </c>
      <c r="I42" s="57">
        <f t="shared" si="13"/>
        <v>15</v>
      </c>
      <c r="J42" s="57">
        <f t="shared" si="13"/>
        <v>17</v>
      </c>
      <c r="K42" s="57">
        <f t="shared" si="13"/>
        <v>0</v>
      </c>
      <c r="L42" s="57">
        <f t="shared" si="13"/>
        <v>0</v>
      </c>
      <c r="M42" s="57">
        <f t="shared" si="13"/>
        <v>0</v>
      </c>
      <c r="N42" s="57">
        <f t="shared" si="13"/>
        <v>0</v>
      </c>
    </row>
    <row r="43" spans="2:14" ht="15" x14ac:dyDescent="0.25">
      <c r="B43" s="32" t="s">
        <v>62</v>
      </c>
      <c r="C43" s="61">
        <f>C33</f>
        <v>22.5</v>
      </c>
      <c r="D43" s="61">
        <f t="shared" ref="D43:N43" si="14">D33</f>
        <v>24</v>
      </c>
      <c r="E43" s="61">
        <f t="shared" si="14"/>
        <v>25.5</v>
      </c>
      <c r="F43" s="61">
        <f t="shared" si="14"/>
        <v>27.15</v>
      </c>
      <c r="G43" s="61">
        <f t="shared" si="14"/>
        <v>27.75</v>
      </c>
      <c r="H43" s="61">
        <f t="shared" si="14"/>
        <v>25.05</v>
      </c>
      <c r="I43" s="61">
        <f t="shared" si="14"/>
        <v>24.75</v>
      </c>
      <c r="J43" s="61">
        <f t="shared" si="14"/>
        <v>25.05</v>
      </c>
      <c r="K43" s="61">
        <f t="shared" si="14"/>
        <v>0</v>
      </c>
      <c r="L43" s="61">
        <f t="shared" si="14"/>
        <v>0</v>
      </c>
      <c r="M43" s="61">
        <f t="shared" si="14"/>
        <v>0</v>
      </c>
      <c r="N43" s="61">
        <f t="shared" si="14"/>
        <v>0</v>
      </c>
    </row>
    <row r="44" spans="2:14" ht="15" x14ac:dyDescent="0.25">
      <c r="B44" s="32" t="s">
        <v>63</v>
      </c>
      <c r="C44" s="61">
        <f>IF(C43=0,0,$C$18/12*$C$17)</f>
        <v>22.5</v>
      </c>
      <c r="D44" s="61">
        <f t="shared" ref="D44:N44" si="15">IF(D43=0,0,$C$18/12*$C$17)</f>
        <v>22.5</v>
      </c>
      <c r="E44" s="61">
        <f t="shared" si="15"/>
        <v>22.5</v>
      </c>
      <c r="F44" s="61">
        <f t="shared" si="15"/>
        <v>22.5</v>
      </c>
      <c r="G44" s="61">
        <f t="shared" si="15"/>
        <v>22.5</v>
      </c>
      <c r="H44" s="61">
        <f t="shared" si="15"/>
        <v>22.5</v>
      </c>
      <c r="I44" s="61">
        <f t="shared" si="15"/>
        <v>22.5</v>
      </c>
      <c r="J44" s="61">
        <f t="shared" si="15"/>
        <v>22.5</v>
      </c>
      <c r="K44" s="61">
        <f t="shared" si="15"/>
        <v>0</v>
      </c>
      <c r="L44" s="61">
        <f t="shared" si="15"/>
        <v>0</v>
      </c>
      <c r="M44" s="61">
        <f t="shared" si="15"/>
        <v>0</v>
      </c>
      <c r="N44" s="61">
        <f t="shared" si="15"/>
        <v>0</v>
      </c>
    </row>
    <row r="45" spans="2:14" ht="15" x14ac:dyDescent="0.25">
      <c r="B45" s="32" t="s">
        <v>64</v>
      </c>
      <c r="C45" s="66">
        <f>IF(C33=0,0,C33-($C$18/12*$C$17))</f>
        <v>0</v>
      </c>
      <c r="D45" s="66">
        <f>IF(D33=0,0,D33-($C$18/12*$C$17))</f>
        <v>1.5</v>
      </c>
      <c r="E45" s="66">
        <f t="shared" ref="E45:N45" si="16">IF(E33=0,0,E33-($C$18/12*$C$17))</f>
        <v>3</v>
      </c>
      <c r="F45" s="66">
        <f t="shared" si="16"/>
        <v>4.6499999999999986</v>
      </c>
      <c r="G45" s="66">
        <f t="shared" si="16"/>
        <v>5.25</v>
      </c>
      <c r="H45" s="66">
        <f t="shared" si="16"/>
        <v>2.5500000000000007</v>
      </c>
      <c r="I45" s="66">
        <f t="shared" si="16"/>
        <v>2.25</v>
      </c>
      <c r="J45" s="66">
        <f t="shared" si="16"/>
        <v>2.5500000000000007</v>
      </c>
      <c r="K45" s="66">
        <f t="shared" si="16"/>
        <v>0</v>
      </c>
      <c r="L45" s="66">
        <f t="shared" si="16"/>
        <v>0</v>
      </c>
      <c r="M45" s="66">
        <f t="shared" si="16"/>
        <v>0</v>
      </c>
      <c r="N45" s="66">
        <f t="shared" si="16"/>
        <v>0</v>
      </c>
    </row>
    <row r="46" spans="2:14" ht="15" x14ac:dyDescent="0.25">
      <c r="B46" s="32" t="s">
        <v>65</v>
      </c>
      <c r="C46" s="61">
        <f>C37</f>
        <v>47.5</v>
      </c>
      <c r="D46" s="61">
        <f t="shared" ref="D46:N46" si="17">D37</f>
        <v>49</v>
      </c>
      <c r="E46" s="61">
        <f t="shared" si="17"/>
        <v>50.5</v>
      </c>
      <c r="F46" s="61">
        <f t="shared" si="17"/>
        <v>52.15</v>
      </c>
      <c r="G46" s="61">
        <f t="shared" si="17"/>
        <v>52.75</v>
      </c>
      <c r="H46" s="61">
        <f t="shared" si="17"/>
        <v>50.05</v>
      </c>
      <c r="I46" s="61">
        <f t="shared" si="17"/>
        <v>49.75</v>
      </c>
      <c r="J46" s="61">
        <f t="shared" si="17"/>
        <v>50.05</v>
      </c>
      <c r="K46" s="61">
        <f t="shared" si="17"/>
        <v>0</v>
      </c>
      <c r="L46" s="61">
        <f t="shared" si="17"/>
        <v>0</v>
      </c>
      <c r="M46" s="61">
        <f t="shared" si="17"/>
        <v>0</v>
      </c>
      <c r="N46" s="61">
        <f t="shared" si="17"/>
        <v>0</v>
      </c>
    </row>
    <row r="47" spans="2:14" ht="15" x14ac:dyDescent="0.25">
      <c r="B47" s="32" t="str">
        <f>"Diff. zum Abschlag:  ("&amp;C20&amp;" €)"</f>
        <v>Diff. zum Abschlag:  (47,5 €)</v>
      </c>
      <c r="C47" s="66">
        <f t="shared" ref="C47:J47" si="18">IF(C37=0,0,C37-$C$20)</f>
        <v>0</v>
      </c>
      <c r="D47" s="66">
        <f t="shared" si="18"/>
        <v>1.5</v>
      </c>
      <c r="E47" s="66">
        <f t="shared" si="18"/>
        <v>3</v>
      </c>
      <c r="F47" s="66">
        <f t="shared" si="18"/>
        <v>4.6499999999999986</v>
      </c>
      <c r="G47" s="66">
        <f t="shared" si="18"/>
        <v>5.25</v>
      </c>
      <c r="H47" s="66">
        <f t="shared" si="18"/>
        <v>2.5499999999999972</v>
      </c>
      <c r="I47" s="66">
        <f t="shared" si="18"/>
        <v>2.25</v>
      </c>
      <c r="J47" s="66">
        <f t="shared" si="18"/>
        <v>2.5499999999999972</v>
      </c>
      <c r="K47" s="66">
        <f>IF(K37=0,0,K37-$C$20)</f>
        <v>0</v>
      </c>
      <c r="L47" s="66">
        <f t="shared" ref="L47:N47" si="19">IF(L37=0,0,L37-$C$20)</f>
        <v>0</v>
      </c>
      <c r="M47" s="66">
        <f t="shared" si="19"/>
        <v>0</v>
      </c>
      <c r="N47" s="66">
        <f t="shared" si="19"/>
        <v>0</v>
      </c>
    </row>
    <row r="48" spans="2:14" ht="15" x14ac:dyDescent="0.25">
      <c r="B48" s="31"/>
      <c r="C48" s="67"/>
      <c r="D48" s="31"/>
      <c r="E48" s="31"/>
      <c r="F48" s="31"/>
      <c r="G48" s="31"/>
      <c r="H48" s="31"/>
      <c r="I48" s="31"/>
      <c r="J48" s="31"/>
      <c r="K48" s="68"/>
      <c r="L48" s="31"/>
      <c r="M48" s="31"/>
      <c r="N48" s="31"/>
    </row>
    <row r="49" spans="2:15" ht="15.75" x14ac:dyDescent="0.25">
      <c r="B49" s="35" t="s">
        <v>19</v>
      </c>
      <c r="C49" s="36"/>
      <c r="D49" s="36"/>
      <c r="E49" s="36"/>
      <c r="F49" s="36"/>
      <c r="G49" s="36"/>
      <c r="H49" s="36"/>
      <c r="I49" s="36"/>
      <c r="J49" s="36"/>
      <c r="K49" s="69"/>
      <c r="L49" s="36"/>
      <c r="M49" s="36"/>
      <c r="N49" s="36"/>
    </row>
    <row r="50" spans="2:15" ht="15" x14ac:dyDescent="0.25">
      <c r="B50" s="32" t="s">
        <v>67</v>
      </c>
      <c r="C50" s="57">
        <f>$C$18/12</f>
        <v>150</v>
      </c>
      <c r="D50" s="57">
        <f>$C$18/12</f>
        <v>150</v>
      </c>
      <c r="E50" s="57">
        <f t="shared" ref="E50:N50" si="20">$C$18/12</f>
        <v>150</v>
      </c>
      <c r="F50" s="57">
        <f t="shared" si="20"/>
        <v>150</v>
      </c>
      <c r="G50" s="57">
        <f t="shared" si="20"/>
        <v>150</v>
      </c>
      <c r="H50" s="57">
        <f t="shared" si="20"/>
        <v>150</v>
      </c>
      <c r="I50" s="57">
        <f t="shared" si="20"/>
        <v>150</v>
      </c>
      <c r="J50" s="57">
        <f t="shared" si="20"/>
        <v>150</v>
      </c>
      <c r="K50" s="57">
        <f t="shared" si="20"/>
        <v>150</v>
      </c>
      <c r="L50" s="57">
        <f t="shared" si="20"/>
        <v>150</v>
      </c>
      <c r="M50" s="57">
        <f t="shared" si="20"/>
        <v>150</v>
      </c>
      <c r="N50" s="57">
        <f t="shared" si="20"/>
        <v>150</v>
      </c>
    </row>
    <row r="51" spans="2:15" ht="15" x14ac:dyDescent="0.25">
      <c r="B51" s="32" t="s">
        <v>46</v>
      </c>
      <c r="C51" s="57">
        <f>IF(C42=0,0,C42)</f>
        <v>0</v>
      </c>
      <c r="D51" s="57">
        <f t="shared" ref="D51" si="21">C51+D42</f>
        <v>10</v>
      </c>
      <c r="E51" s="57">
        <f t="shared" ref="E51" si="22">D51+E42</f>
        <v>30</v>
      </c>
      <c r="F51" s="57">
        <f t="shared" ref="F51" si="23">E51+F42</f>
        <v>61</v>
      </c>
      <c r="G51" s="57">
        <f t="shared" ref="G51" si="24">F51+G42</f>
        <v>96</v>
      </c>
      <c r="H51" s="57">
        <f t="shared" ref="H51" si="25">G51+H42</f>
        <v>113</v>
      </c>
      <c r="I51" s="57">
        <f t="shared" ref="I51" si="26">H51+I42</f>
        <v>128</v>
      </c>
      <c r="J51" s="57">
        <f t="shared" ref="J51" si="27">I51+J42</f>
        <v>145</v>
      </c>
      <c r="K51" s="57">
        <f>IF(K42=0,0,J51+K42)</f>
        <v>0</v>
      </c>
      <c r="L51" s="57">
        <f t="shared" ref="L51:N51" si="28">IF(L42=0,0,K51+L42)</f>
        <v>0</v>
      </c>
      <c r="M51" s="57">
        <f t="shared" si="28"/>
        <v>0</v>
      </c>
      <c r="N51" s="57">
        <f t="shared" si="28"/>
        <v>0</v>
      </c>
    </row>
    <row r="52" spans="2:15" ht="15" x14ac:dyDescent="0.25">
      <c r="B52" s="32" t="s">
        <v>47</v>
      </c>
      <c r="C52" s="61">
        <f>C45</f>
        <v>0</v>
      </c>
      <c r="D52" s="61">
        <f>C52+D45</f>
        <v>1.5</v>
      </c>
      <c r="E52" s="61">
        <f>D52+E45</f>
        <v>4.5</v>
      </c>
      <c r="F52" s="61">
        <f t="shared" ref="F52:N52" si="29">E52+F45</f>
        <v>9.1499999999999986</v>
      </c>
      <c r="G52" s="61">
        <f t="shared" si="29"/>
        <v>14.399999999999999</v>
      </c>
      <c r="H52" s="61">
        <f t="shared" si="29"/>
        <v>16.95</v>
      </c>
      <c r="I52" s="61">
        <f t="shared" si="29"/>
        <v>19.2</v>
      </c>
      <c r="J52" s="61">
        <f t="shared" si="29"/>
        <v>21.75</v>
      </c>
      <c r="K52" s="61">
        <f t="shared" si="29"/>
        <v>21.75</v>
      </c>
      <c r="L52" s="61">
        <f t="shared" si="29"/>
        <v>21.75</v>
      </c>
      <c r="M52" s="61">
        <f t="shared" si="29"/>
        <v>21.75</v>
      </c>
      <c r="N52" s="61">
        <f t="shared" si="29"/>
        <v>21.75</v>
      </c>
    </row>
    <row r="53" spans="2:15" ht="15" x14ac:dyDescent="0.25">
      <c r="B53" s="56" t="s">
        <v>66</v>
      </c>
      <c r="C53" s="66">
        <f>C47</f>
        <v>0</v>
      </c>
      <c r="D53" s="66">
        <f>C53+D47</f>
        <v>1.5</v>
      </c>
      <c r="E53" s="66">
        <f>D53+E47</f>
        <v>4.5</v>
      </c>
      <c r="F53" s="66">
        <f t="shared" ref="F53:M53" si="30">E53+F47</f>
        <v>9.1499999999999986</v>
      </c>
      <c r="G53" s="66">
        <f t="shared" si="30"/>
        <v>14.399999999999999</v>
      </c>
      <c r="H53" s="66">
        <f t="shared" si="30"/>
        <v>16.949999999999996</v>
      </c>
      <c r="I53" s="66">
        <f t="shared" si="30"/>
        <v>19.199999999999996</v>
      </c>
      <c r="J53" s="66">
        <f t="shared" si="30"/>
        <v>21.749999999999993</v>
      </c>
      <c r="K53" s="66">
        <f>J53+K47</f>
        <v>21.749999999999993</v>
      </c>
      <c r="L53" s="66">
        <f t="shared" si="30"/>
        <v>21.749999999999993</v>
      </c>
      <c r="M53" s="66">
        <f t="shared" si="30"/>
        <v>21.749999999999993</v>
      </c>
      <c r="N53" s="70">
        <f>ROUND(M53+N47,2)</f>
        <v>21.75</v>
      </c>
      <c r="O53" s="72" t="s">
        <v>69</v>
      </c>
    </row>
    <row r="54" spans="2:15" ht="15" x14ac:dyDescent="0.25">
      <c r="C54" s="31"/>
    </row>
    <row r="55" spans="2:15" ht="15" x14ac:dyDescent="0.25">
      <c r="K55" s="31"/>
    </row>
    <row r="56" spans="2:15" ht="15" x14ac:dyDescent="0.25">
      <c r="K56" s="31"/>
    </row>
    <row r="57" spans="2:15" ht="15" x14ac:dyDescent="0.25">
      <c r="K57" s="31"/>
    </row>
    <row r="58" spans="2:15" ht="15" x14ac:dyDescent="0.25">
      <c r="K58" s="31"/>
    </row>
    <row r="59" spans="2:15" ht="15" x14ac:dyDescent="0.25">
      <c r="K59" s="31"/>
    </row>
  </sheetData>
  <sheetProtection password="E8F3" sheet="1" selectLockedCells="1"/>
  <mergeCells count="15">
    <mergeCell ref="C7:D7"/>
    <mergeCell ref="C8:D8"/>
    <mergeCell ref="C9:D9"/>
    <mergeCell ref="C12:D12"/>
    <mergeCell ref="C13:D13"/>
    <mergeCell ref="C14:D14"/>
    <mergeCell ref="C15:D15"/>
    <mergeCell ref="C10:D10"/>
    <mergeCell ref="C11:D11"/>
    <mergeCell ref="C21:D21"/>
    <mergeCell ref="C16:D16"/>
    <mergeCell ref="C17:D17"/>
    <mergeCell ref="C18:D18"/>
    <mergeCell ref="C19:D19"/>
    <mergeCell ref="C20:D20"/>
  </mergeCells>
  <hyperlinks>
    <hyperlink ref="O53" location="'Analyse 12 Monate'!A23" display="oben "/>
  </hyperlinks>
  <pageMargins left="0.7" right="0.7" top="0.78740157499999996" bottom="0.78740157499999996"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0"/>
  <sheetViews>
    <sheetView showGridLines="0" workbookViewId="0">
      <pane ySplit="22" topLeftCell="A23" activePane="bottomLeft" state="frozen"/>
      <selection pane="bottomLeft"/>
    </sheetView>
  </sheetViews>
  <sheetFormatPr baseColWidth="10" defaultColWidth="11" defaultRowHeight="14.25" x14ac:dyDescent="0.2"/>
  <cols>
    <col min="1" max="1" width="0.625" style="4" customWidth="1"/>
    <col min="2" max="2" width="8.375" style="4" customWidth="1"/>
    <col min="3" max="3" width="14.75" style="4" customWidth="1"/>
    <col min="4" max="4" width="15" style="4" customWidth="1"/>
    <col min="5" max="6" width="14.625" style="4" customWidth="1"/>
    <col min="7" max="7" width="0.125" style="4" customWidth="1"/>
    <col min="8" max="8" width="14.625" style="4" customWidth="1"/>
    <col min="9" max="9" width="7.625" style="4" customWidth="1"/>
    <col min="10" max="10" width="9" style="4" customWidth="1"/>
    <col min="11" max="13" width="15.75" style="4" customWidth="1"/>
    <col min="14" max="14" width="0.125" style="4" customWidth="1"/>
    <col min="15" max="18" width="10.375" style="4" customWidth="1"/>
    <col min="19" max="16384" width="11" style="4"/>
  </cols>
  <sheetData>
    <row r="1" spans="1:18" ht="3" customHeight="1" x14ac:dyDescent="0.2">
      <c r="A1" s="1"/>
    </row>
    <row r="2" spans="1:18" ht="26.25" x14ac:dyDescent="0.4">
      <c r="B2" s="5" t="s">
        <v>68</v>
      </c>
      <c r="C2" s="5"/>
      <c r="D2" s="6"/>
      <c r="E2" s="6"/>
      <c r="F2" s="6"/>
      <c r="G2" s="6"/>
      <c r="H2" s="6"/>
      <c r="I2" s="6"/>
      <c r="J2" s="6"/>
      <c r="K2" s="6"/>
      <c r="L2" s="6"/>
      <c r="M2" s="6"/>
    </row>
    <row r="3" spans="1:18" ht="8.4499999999999993" customHeight="1" x14ac:dyDescent="0.25">
      <c r="B3" s="7"/>
      <c r="C3" s="7"/>
      <c r="D3" s="8"/>
      <c r="E3" s="8"/>
      <c r="F3" s="8"/>
      <c r="G3" s="8"/>
      <c r="H3" s="8"/>
      <c r="I3" s="8"/>
      <c r="J3" s="8"/>
      <c r="K3" s="8"/>
      <c r="L3" s="8"/>
      <c r="M3" s="8"/>
    </row>
    <row r="4" spans="1:18" ht="15" x14ac:dyDescent="0.25">
      <c r="B4" s="93">
        <v>45882</v>
      </c>
      <c r="C4" s="93"/>
      <c r="D4" s="9" t="s">
        <v>5</v>
      </c>
      <c r="E4" s="2" t="s">
        <v>6</v>
      </c>
      <c r="F4" s="9" t="s">
        <v>10</v>
      </c>
      <c r="G4" s="9"/>
      <c r="H4" s="3">
        <v>2025</v>
      </c>
      <c r="I4" s="12"/>
      <c r="J4" s="8"/>
      <c r="K4" s="8"/>
      <c r="L4" s="8"/>
      <c r="M4" s="8"/>
    </row>
    <row r="5" spans="1:18" ht="7.5" customHeight="1" x14ac:dyDescent="0.25">
      <c r="B5" s="31"/>
      <c r="C5" s="31"/>
      <c r="D5" s="31"/>
      <c r="E5" s="31"/>
      <c r="F5" s="31"/>
      <c r="G5" s="31"/>
      <c r="H5" s="31"/>
      <c r="I5" s="31"/>
      <c r="J5" s="31"/>
      <c r="K5" s="31"/>
      <c r="L5" s="31"/>
      <c r="M5" s="31"/>
    </row>
    <row r="6" spans="1:18" ht="15.75" x14ac:dyDescent="0.25">
      <c r="B6" s="13" t="s">
        <v>0</v>
      </c>
      <c r="C6" s="13"/>
      <c r="D6" s="14"/>
      <c r="E6" s="100" t="s">
        <v>49</v>
      </c>
      <c r="F6" s="95"/>
      <c r="G6" s="95"/>
      <c r="H6" s="95"/>
      <c r="I6" s="101"/>
      <c r="J6" s="100" t="s">
        <v>34</v>
      </c>
      <c r="K6" s="102"/>
      <c r="L6" s="102"/>
      <c r="M6" s="102"/>
    </row>
    <row r="7" spans="1:18" ht="15" x14ac:dyDescent="0.25">
      <c r="B7" s="32" t="s">
        <v>38</v>
      </c>
      <c r="C7" s="32"/>
      <c r="D7" s="18" t="s">
        <v>42</v>
      </c>
      <c r="E7" s="31"/>
      <c r="F7" s="31"/>
      <c r="G7" s="31"/>
      <c r="H7" s="31"/>
      <c r="I7" s="31"/>
      <c r="J7" s="31"/>
      <c r="K7" s="31"/>
      <c r="L7" s="31"/>
      <c r="M7" s="31"/>
      <c r="N7" s="31"/>
      <c r="O7" s="31"/>
      <c r="P7" s="31"/>
      <c r="Q7" s="31"/>
      <c r="R7" s="31"/>
    </row>
    <row r="8" spans="1:18" ht="15" x14ac:dyDescent="0.25">
      <c r="B8" s="32" t="s">
        <v>43</v>
      </c>
      <c r="C8" s="32"/>
      <c r="D8" s="17">
        <v>3234947</v>
      </c>
      <c r="E8" s="31"/>
      <c r="F8" s="31"/>
      <c r="G8" s="31"/>
      <c r="H8" s="31"/>
      <c r="I8" s="31"/>
      <c r="J8" s="31"/>
      <c r="K8" s="31"/>
      <c r="L8" s="31"/>
      <c r="M8" s="31"/>
      <c r="N8" s="31"/>
      <c r="O8" s="31"/>
      <c r="P8" s="31"/>
      <c r="Q8" s="31"/>
      <c r="R8" s="31"/>
    </row>
    <row r="9" spans="1:18" ht="15" x14ac:dyDescent="0.25">
      <c r="B9" s="32" t="s">
        <v>48</v>
      </c>
      <c r="C9" s="32"/>
      <c r="D9" s="19" t="s">
        <v>41</v>
      </c>
      <c r="E9" s="31"/>
      <c r="F9" s="31"/>
      <c r="G9" s="31"/>
      <c r="H9" s="31"/>
      <c r="I9" s="31"/>
      <c r="J9" s="31"/>
      <c r="K9" s="31"/>
      <c r="L9" s="31"/>
      <c r="M9" s="31"/>
      <c r="N9" s="31"/>
      <c r="O9" s="31"/>
      <c r="P9" s="31"/>
      <c r="Q9" s="31"/>
      <c r="R9" s="31"/>
    </row>
    <row r="10" spans="1:18" ht="15" x14ac:dyDescent="0.25">
      <c r="B10" s="32" t="s">
        <v>1</v>
      </c>
      <c r="C10" s="32"/>
      <c r="D10" s="21">
        <v>45536</v>
      </c>
      <c r="E10" s="31"/>
      <c r="F10" s="31"/>
      <c r="G10" s="31"/>
      <c r="H10" s="31"/>
      <c r="I10" s="31"/>
      <c r="J10" s="31"/>
      <c r="K10" s="31"/>
      <c r="L10" s="31"/>
      <c r="M10" s="31"/>
      <c r="N10" s="31"/>
      <c r="O10" s="31"/>
      <c r="P10" s="31"/>
      <c r="Q10" s="31"/>
      <c r="R10" s="31"/>
    </row>
    <row r="11" spans="1:18" ht="15" x14ac:dyDescent="0.25">
      <c r="B11" s="32" t="s">
        <v>2</v>
      </c>
      <c r="C11" s="32"/>
      <c r="D11" s="21">
        <v>45930</v>
      </c>
      <c r="E11" s="31"/>
      <c r="F11" s="31"/>
      <c r="G11" s="31"/>
      <c r="H11" s="31"/>
      <c r="I11" s="31"/>
      <c r="J11" s="31"/>
      <c r="K11" s="31"/>
      <c r="L11" s="31"/>
      <c r="M11" s="31"/>
      <c r="N11" s="31"/>
      <c r="O11" s="31"/>
      <c r="P11" s="31"/>
      <c r="Q11" s="31"/>
      <c r="R11" s="31"/>
    </row>
    <row r="12" spans="1:18" ht="15" x14ac:dyDescent="0.25">
      <c r="B12" s="32" t="s">
        <v>44</v>
      </c>
      <c r="C12" s="32"/>
      <c r="D12" s="22">
        <f>D11-D10</f>
        <v>394</v>
      </c>
      <c r="E12" s="33"/>
      <c r="F12" s="31"/>
      <c r="G12" s="31"/>
      <c r="H12" s="31"/>
      <c r="I12" s="31"/>
      <c r="J12" s="31"/>
      <c r="K12" s="31"/>
      <c r="L12" s="31"/>
      <c r="M12" s="31"/>
      <c r="N12" s="31"/>
      <c r="O12" s="31"/>
      <c r="P12" s="31"/>
      <c r="Q12" s="31"/>
      <c r="R12" s="31"/>
    </row>
    <row r="13" spans="1:18" ht="15" x14ac:dyDescent="0.25">
      <c r="B13" s="32" t="s">
        <v>45</v>
      </c>
      <c r="C13" s="32"/>
      <c r="D13" s="23">
        <v>490</v>
      </c>
      <c r="E13" s="31"/>
      <c r="F13" s="31"/>
      <c r="G13" s="31"/>
      <c r="H13" s="31"/>
      <c r="I13" s="31"/>
      <c r="J13" s="31"/>
      <c r="K13" s="31"/>
      <c r="L13" s="31"/>
      <c r="M13" s="31"/>
      <c r="N13" s="31"/>
      <c r="O13" s="31"/>
      <c r="P13" s="31"/>
      <c r="Q13" s="31"/>
      <c r="R13" s="31"/>
    </row>
    <row r="14" spans="1:18" ht="15" x14ac:dyDescent="0.25">
      <c r="B14" s="32" t="s">
        <v>3</v>
      </c>
      <c r="C14" s="32"/>
      <c r="D14" s="24">
        <v>239.5</v>
      </c>
      <c r="E14" s="31"/>
      <c r="F14" s="31"/>
      <c r="G14" s="31"/>
      <c r="H14" s="31"/>
      <c r="I14" s="31"/>
      <c r="J14" s="31"/>
      <c r="K14" s="31"/>
      <c r="L14" s="31"/>
      <c r="M14" s="31"/>
      <c r="N14" s="31"/>
      <c r="O14" s="31"/>
      <c r="P14" s="31"/>
      <c r="Q14" s="31"/>
      <c r="R14" s="31"/>
    </row>
    <row r="15" spans="1:18" ht="15" x14ac:dyDescent="0.25">
      <c r="B15" s="32" t="s">
        <v>8</v>
      </c>
      <c r="C15" s="32"/>
      <c r="D15" s="25">
        <f>D14/12</f>
        <v>19.958333333333332</v>
      </c>
      <c r="E15" s="31"/>
      <c r="F15" s="31"/>
      <c r="G15" s="31"/>
      <c r="H15" s="31"/>
      <c r="I15" s="31"/>
      <c r="J15" s="31"/>
      <c r="K15" s="31"/>
      <c r="L15" s="31"/>
      <c r="M15" s="31"/>
      <c r="N15" s="31"/>
      <c r="O15" s="31"/>
      <c r="P15" s="31"/>
      <c r="Q15" s="31"/>
      <c r="R15" s="31"/>
    </row>
    <row r="16" spans="1:18" ht="15" x14ac:dyDescent="0.25">
      <c r="B16" s="32" t="s">
        <v>4</v>
      </c>
      <c r="C16" s="32"/>
      <c r="D16" s="25">
        <f>D14/365</f>
        <v>0.65616438356164386</v>
      </c>
      <c r="E16" s="34"/>
      <c r="F16" s="31"/>
      <c r="G16" s="31"/>
      <c r="H16" s="31"/>
      <c r="I16" s="31"/>
      <c r="J16" s="31"/>
      <c r="K16" s="31"/>
      <c r="L16" s="31"/>
      <c r="M16" s="31"/>
      <c r="N16" s="31"/>
      <c r="O16" s="31"/>
      <c r="P16" s="31"/>
      <c r="Q16" s="31"/>
      <c r="R16" s="31"/>
    </row>
    <row r="17" spans="1:18" ht="15" x14ac:dyDescent="0.25">
      <c r="B17" s="32" t="s">
        <v>7</v>
      </c>
      <c r="C17" s="32"/>
      <c r="D17" s="26">
        <v>0.14899999999999999</v>
      </c>
      <c r="E17" s="31"/>
      <c r="F17" s="31"/>
      <c r="G17" s="31"/>
      <c r="H17" s="31"/>
      <c r="I17" s="31"/>
      <c r="J17" s="31"/>
      <c r="K17" s="31"/>
      <c r="L17" s="31"/>
      <c r="M17" s="31"/>
      <c r="N17" s="31"/>
      <c r="O17" s="31"/>
      <c r="P17" s="31"/>
      <c r="Q17" s="31"/>
      <c r="R17" s="31"/>
    </row>
    <row r="18" spans="1:18" ht="15" x14ac:dyDescent="0.25">
      <c r="B18" s="32" t="s">
        <v>14</v>
      </c>
      <c r="C18" s="32"/>
      <c r="D18" s="23">
        <v>1800</v>
      </c>
      <c r="E18" s="31"/>
      <c r="F18" s="31"/>
      <c r="G18" s="31"/>
      <c r="H18" s="31"/>
      <c r="I18" s="31"/>
      <c r="J18" s="31"/>
      <c r="K18" s="31"/>
      <c r="L18" s="31"/>
      <c r="M18" s="31"/>
      <c r="N18" s="31"/>
      <c r="O18" s="31"/>
      <c r="P18" s="31"/>
      <c r="Q18" s="31"/>
      <c r="R18" s="31"/>
    </row>
    <row r="19" spans="1:18" ht="15" x14ac:dyDescent="0.25">
      <c r="B19" s="32" t="s">
        <v>15</v>
      </c>
      <c r="C19" s="32"/>
      <c r="D19" s="25">
        <f>(D18*D17)+D14</f>
        <v>507.7</v>
      </c>
      <c r="E19" s="31"/>
      <c r="F19" s="31"/>
      <c r="G19" s="31"/>
      <c r="H19" s="31"/>
      <c r="I19" s="31"/>
      <c r="J19" s="31"/>
      <c r="K19" s="31"/>
      <c r="L19" s="31"/>
      <c r="M19" s="31"/>
      <c r="N19" s="31"/>
      <c r="O19" s="31"/>
      <c r="P19" s="31"/>
      <c r="Q19" s="31"/>
      <c r="R19" s="31"/>
    </row>
    <row r="20" spans="1:18" ht="15" x14ac:dyDescent="0.25">
      <c r="B20" s="32" t="s">
        <v>13</v>
      </c>
      <c r="C20" s="32"/>
      <c r="D20" s="24">
        <v>50</v>
      </c>
      <c r="E20" s="31"/>
      <c r="F20" s="31"/>
      <c r="G20" s="31"/>
      <c r="H20" s="31"/>
      <c r="I20" s="31"/>
      <c r="J20" s="31"/>
      <c r="K20" s="31"/>
      <c r="L20" s="31"/>
      <c r="M20" s="31"/>
      <c r="N20" s="31"/>
      <c r="O20" s="31"/>
      <c r="P20" s="31"/>
      <c r="Q20" s="31"/>
      <c r="R20" s="31"/>
    </row>
    <row r="21" spans="1:18" ht="15" x14ac:dyDescent="0.25">
      <c r="B21" s="32" t="s">
        <v>24</v>
      </c>
      <c r="C21" s="32"/>
      <c r="D21" s="25">
        <f>D20*12</f>
        <v>600</v>
      </c>
      <c r="E21" s="31"/>
      <c r="F21" s="31"/>
      <c r="G21" s="31"/>
      <c r="H21" s="31"/>
      <c r="I21" s="31"/>
      <c r="J21" s="31"/>
      <c r="K21" s="31"/>
      <c r="L21" s="31"/>
      <c r="M21" s="31"/>
      <c r="N21" s="31"/>
      <c r="O21" s="31"/>
      <c r="P21" s="31"/>
      <c r="Q21" s="31"/>
      <c r="R21" s="31"/>
    </row>
    <row r="22" spans="1:18" ht="15.75" customHeight="1" x14ac:dyDescent="0.25">
      <c r="B22" s="31"/>
      <c r="C22" s="31"/>
      <c r="D22" s="31"/>
      <c r="E22" s="31"/>
      <c r="F22" s="31"/>
      <c r="G22" s="31"/>
      <c r="H22" s="31"/>
      <c r="I22" s="31"/>
      <c r="J22" s="31"/>
      <c r="K22" s="31"/>
      <c r="L22" s="31"/>
      <c r="M22" s="31"/>
      <c r="N22" s="31"/>
      <c r="O22" s="31"/>
      <c r="P22" s="31"/>
      <c r="Q22" s="31"/>
      <c r="R22" s="31"/>
    </row>
    <row r="23" spans="1:18" ht="15.75" x14ac:dyDescent="0.25">
      <c r="A23" s="1"/>
      <c r="B23" s="35" t="s">
        <v>37</v>
      </c>
      <c r="C23" s="36"/>
      <c r="D23" s="36"/>
      <c r="E23" s="94" t="s">
        <v>28</v>
      </c>
      <c r="F23" s="95"/>
      <c r="G23" s="95"/>
      <c r="H23" s="96"/>
      <c r="I23" s="37"/>
      <c r="J23" s="102" t="s">
        <v>30</v>
      </c>
      <c r="K23" s="102"/>
      <c r="L23" s="102"/>
      <c r="M23" s="102"/>
      <c r="N23" s="31"/>
      <c r="O23" s="31"/>
      <c r="P23" s="31"/>
      <c r="Q23" s="31"/>
    </row>
    <row r="24" spans="1:18" ht="15" x14ac:dyDescent="0.25">
      <c r="B24" s="38" t="s">
        <v>25</v>
      </c>
      <c r="C24" s="39" t="s">
        <v>26</v>
      </c>
      <c r="D24" s="39" t="s">
        <v>27</v>
      </c>
      <c r="E24" s="40" t="s">
        <v>36</v>
      </c>
      <c r="F24" s="41" t="s">
        <v>29</v>
      </c>
      <c r="G24" s="41" t="s">
        <v>35</v>
      </c>
      <c r="H24" s="42" t="s">
        <v>51</v>
      </c>
      <c r="I24" s="97" t="s">
        <v>50</v>
      </c>
      <c r="J24" s="97"/>
      <c r="K24" s="39" t="s">
        <v>31</v>
      </c>
      <c r="L24" s="39" t="s">
        <v>32</v>
      </c>
      <c r="M24" s="39" t="s">
        <v>33</v>
      </c>
      <c r="N24" s="43" t="s">
        <v>35</v>
      </c>
      <c r="O24" s="31"/>
      <c r="P24" s="31"/>
      <c r="Q24" s="31"/>
    </row>
    <row r="25" spans="1:18" ht="15" x14ac:dyDescent="0.25">
      <c r="B25" s="44">
        <v>0</v>
      </c>
      <c r="C25" s="45">
        <f>D10</f>
        <v>45536</v>
      </c>
      <c r="D25" s="46"/>
      <c r="E25" s="47">
        <f>D13</f>
        <v>490</v>
      </c>
      <c r="F25" s="46"/>
      <c r="G25" s="46"/>
      <c r="H25" s="46"/>
      <c r="I25" s="46"/>
      <c r="J25" s="46"/>
      <c r="K25" s="46"/>
      <c r="L25" s="46"/>
      <c r="M25" s="46"/>
      <c r="N25" s="43"/>
      <c r="O25" s="31"/>
      <c r="P25" s="31"/>
      <c r="Q25" s="31"/>
    </row>
    <row r="26" spans="1:18" ht="15" x14ac:dyDescent="0.25">
      <c r="B26" s="44">
        <f>B25+1</f>
        <v>1</v>
      </c>
      <c r="C26" s="10">
        <v>45566</v>
      </c>
      <c r="D26" s="44">
        <f>IF(C26="","",C26-C25)</f>
        <v>30</v>
      </c>
      <c r="E26" s="11">
        <v>650</v>
      </c>
      <c r="F26" s="47">
        <f>IF(E26="","",E26-E25)</f>
        <v>160</v>
      </c>
      <c r="G26" s="47">
        <f>IF(E26="",#N/A,E26-E25)</f>
        <v>160</v>
      </c>
      <c r="H26" s="48">
        <f>IF(F26="","",F26/D26)</f>
        <v>5.333333333333333</v>
      </c>
      <c r="I26" s="98">
        <f>IF(E26="","",$D$16*D26)</f>
        <v>19.684931506849317</v>
      </c>
      <c r="J26" s="99"/>
      <c r="K26" s="49">
        <f>IF(E26="","",$D$17*F26)</f>
        <v>23.84</v>
      </c>
      <c r="L26" s="49">
        <f>IF(E26="","",I26+K26)</f>
        <v>43.524931506849313</v>
      </c>
      <c r="M26" s="50">
        <f>IF(E26="","",L26)</f>
        <v>43.524931506849313</v>
      </c>
      <c r="N26" s="43">
        <f>IF(E26="",#N/A,L26)</f>
        <v>43.524931506849313</v>
      </c>
      <c r="O26" s="31"/>
      <c r="P26" s="31"/>
      <c r="Q26" s="31"/>
    </row>
    <row r="27" spans="1:18" ht="15" x14ac:dyDescent="0.25">
      <c r="B27" s="44">
        <f t="shared" ref="B27:B29" si="0">B26+1</f>
        <v>2</v>
      </c>
      <c r="C27" s="10">
        <v>45597</v>
      </c>
      <c r="D27" s="44">
        <f t="shared" ref="D27:D49" si="1">IF(C27="","",C27-C26)</f>
        <v>31</v>
      </c>
      <c r="E27" s="11">
        <v>810</v>
      </c>
      <c r="F27" s="47">
        <f t="shared" ref="F27:F49" si="2">IF(E27="","",E27-E26)</f>
        <v>160</v>
      </c>
      <c r="G27" s="47">
        <f t="shared" ref="G27:G49" si="3">IF(E27="",#N/A,E27-E26)</f>
        <v>160</v>
      </c>
      <c r="H27" s="48">
        <f t="shared" ref="H27:H49" si="4">IF(F27="","",F27/D27)</f>
        <v>5.161290322580645</v>
      </c>
      <c r="I27" s="98">
        <f t="shared" ref="I27:I28" si="5">IF(E27="","",$D$16*D27)</f>
        <v>20.341095890410958</v>
      </c>
      <c r="J27" s="99"/>
      <c r="K27" s="49">
        <f t="shared" ref="K27:K49" si="6">IF(E27="","",$D$17*F27)</f>
        <v>23.84</v>
      </c>
      <c r="L27" s="49">
        <f t="shared" ref="L27:L36" si="7">IF(E27="","",I27+K27)</f>
        <v>44.181095890410958</v>
      </c>
      <c r="M27" s="50">
        <f>IF(E27="","",M26+L27)</f>
        <v>87.706027397260272</v>
      </c>
      <c r="N27" s="43">
        <f>IF(E27="",#N/A,M26+L27)</f>
        <v>87.706027397260272</v>
      </c>
      <c r="O27" s="31"/>
      <c r="P27" s="31"/>
      <c r="Q27" s="31"/>
    </row>
    <row r="28" spans="1:18" ht="15" x14ac:dyDescent="0.25">
      <c r="B28" s="44">
        <f t="shared" si="0"/>
        <v>3</v>
      </c>
      <c r="C28" s="10">
        <v>45653</v>
      </c>
      <c r="D28" s="44">
        <f t="shared" si="1"/>
        <v>56</v>
      </c>
      <c r="E28" s="11">
        <v>980</v>
      </c>
      <c r="F28" s="47">
        <f t="shared" si="2"/>
        <v>170</v>
      </c>
      <c r="G28" s="47">
        <f t="shared" si="3"/>
        <v>170</v>
      </c>
      <c r="H28" s="48">
        <f t="shared" si="4"/>
        <v>3.0357142857142856</v>
      </c>
      <c r="I28" s="98">
        <f t="shared" si="5"/>
        <v>36.745205479452054</v>
      </c>
      <c r="J28" s="99"/>
      <c r="K28" s="49">
        <f t="shared" si="6"/>
        <v>25.33</v>
      </c>
      <c r="L28" s="49">
        <f t="shared" si="7"/>
        <v>62.075205479452052</v>
      </c>
      <c r="M28" s="50">
        <f t="shared" ref="M28:M49" si="8">IF(E28="","",M27+L28)</f>
        <v>149.78123287671232</v>
      </c>
      <c r="N28" s="43">
        <f t="shared" ref="N28:N49" si="9">IF(E28="",#N/A,M27+L28)</f>
        <v>149.78123287671232</v>
      </c>
      <c r="O28" s="31"/>
      <c r="P28" s="31"/>
      <c r="Q28" s="31"/>
    </row>
    <row r="29" spans="1:18" ht="15" x14ac:dyDescent="0.25">
      <c r="B29" s="44">
        <f t="shared" si="0"/>
        <v>4</v>
      </c>
      <c r="C29" s="10">
        <v>45688</v>
      </c>
      <c r="D29" s="44">
        <f t="shared" si="1"/>
        <v>35</v>
      </c>
      <c r="E29" s="11">
        <v>1156</v>
      </c>
      <c r="F29" s="47">
        <f t="shared" si="2"/>
        <v>176</v>
      </c>
      <c r="G29" s="47">
        <f t="shared" si="3"/>
        <v>176</v>
      </c>
      <c r="H29" s="48">
        <f t="shared" si="4"/>
        <v>5.0285714285714285</v>
      </c>
      <c r="I29" s="98">
        <f t="shared" ref="I29" si="10">IF(E29="","",$D$16*D29)</f>
        <v>22.965753424657535</v>
      </c>
      <c r="J29" s="99"/>
      <c r="K29" s="49">
        <f t="shared" si="6"/>
        <v>26.224</v>
      </c>
      <c r="L29" s="49">
        <f t="shared" si="7"/>
        <v>49.189753424657539</v>
      </c>
      <c r="M29" s="50">
        <f t="shared" si="8"/>
        <v>198.97098630136986</v>
      </c>
      <c r="N29" s="43">
        <f t="shared" si="9"/>
        <v>198.97098630136986</v>
      </c>
      <c r="O29" s="31"/>
      <c r="P29" s="31"/>
      <c r="Q29" s="31"/>
    </row>
    <row r="30" spans="1:18" ht="15" x14ac:dyDescent="0.25">
      <c r="B30" s="44">
        <f t="shared" ref="B30:B49" si="11">B29+1</f>
        <v>5</v>
      </c>
      <c r="C30" s="10">
        <v>45716</v>
      </c>
      <c r="D30" s="44">
        <f t="shared" si="1"/>
        <v>28</v>
      </c>
      <c r="E30" s="11">
        <v>1336</v>
      </c>
      <c r="F30" s="47">
        <f t="shared" si="2"/>
        <v>180</v>
      </c>
      <c r="G30" s="47">
        <f t="shared" si="3"/>
        <v>180</v>
      </c>
      <c r="H30" s="48">
        <f t="shared" si="4"/>
        <v>6.4285714285714288</v>
      </c>
      <c r="I30" s="98">
        <f t="shared" ref="I30:I33" si="12">IF(E30="","",$D$16*D30)</f>
        <v>18.372602739726027</v>
      </c>
      <c r="J30" s="99"/>
      <c r="K30" s="49">
        <f t="shared" si="6"/>
        <v>26.82</v>
      </c>
      <c r="L30" s="49">
        <f t="shared" si="7"/>
        <v>45.192602739726027</v>
      </c>
      <c r="M30" s="50">
        <f t="shared" si="8"/>
        <v>244.16358904109589</v>
      </c>
      <c r="N30" s="43">
        <f t="shared" si="9"/>
        <v>244.16358904109589</v>
      </c>
      <c r="O30" s="31"/>
      <c r="P30" s="31"/>
      <c r="Q30" s="31"/>
    </row>
    <row r="31" spans="1:18" ht="15" x14ac:dyDescent="0.25">
      <c r="B31" s="44">
        <f t="shared" si="11"/>
        <v>6</v>
      </c>
      <c r="C31" s="10">
        <v>45746</v>
      </c>
      <c r="D31" s="44">
        <f t="shared" si="1"/>
        <v>30</v>
      </c>
      <c r="E31" s="11">
        <v>1513</v>
      </c>
      <c r="F31" s="47">
        <f t="shared" si="2"/>
        <v>177</v>
      </c>
      <c r="G31" s="47">
        <f t="shared" si="3"/>
        <v>177</v>
      </c>
      <c r="H31" s="48">
        <f t="shared" si="4"/>
        <v>5.9</v>
      </c>
      <c r="I31" s="98">
        <f t="shared" si="12"/>
        <v>19.684931506849317</v>
      </c>
      <c r="J31" s="99"/>
      <c r="K31" s="49">
        <f t="shared" si="6"/>
        <v>26.372999999999998</v>
      </c>
      <c r="L31" s="49">
        <f t="shared" si="7"/>
        <v>46.057931506849314</v>
      </c>
      <c r="M31" s="50">
        <f t="shared" si="8"/>
        <v>290.2215205479452</v>
      </c>
      <c r="N31" s="43">
        <f t="shared" si="9"/>
        <v>290.2215205479452</v>
      </c>
      <c r="O31" s="31"/>
      <c r="P31" s="31"/>
      <c r="Q31" s="31"/>
      <c r="R31" s="31"/>
    </row>
    <row r="32" spans="1:18" ht="15" x14ac:dyDescent="0.25">
      <c r="B32" s="44">
        <f t="shared" si="11"/>
        <v>7</v>
      </c>
      <c r="C32" s="10">
        <v>45777</v>
      </c>
      <c r="D32" s="44">
        <f t="shared" si="1"/>
        <v>31</v>
      </c>
      <c r="E32" s="11">
        <v>1678</v>
      </c>
      <c r="F32" s="47">
        <f t="shared" si="2"/>
        <v>165</v>
      </c>
      <c r="G32" s="47">
        <f t="shared" si="3"/>
        <v>165</v>
      </c>
      <c r="H32" s="48">
        <f t="shared" si="4"/>
        <v>5.32258064516129</v>
      </c>
      <c r="I32" s="98">
        <f t="shared" si="12"/>
        <v>20.341095890410958</v>
      </c>
      <c r="J32" s="99"/>
      <c r="K32" s="49">
        <f t="shared" si="6"/>
        <v>24.584999999999997</v>
      </c>
      <c r="L32" s="49">
        <f t="shared" si="7"/>
        <v>44.926095890410956</v>
      </c>
      <c r="M32" s="50">
        <f t="shared" si="8"/>
        <v>335.14761643835618</v>
      </c>
      <c r="N32" s="43">
        <f t="shared" si="9"/>
        <v>335.14761643835618</v>
      </c>
      <c r="O32" s="31"/>
    </row>
    <row r="33" spans="2:15" ht="15" x14ac:dyDescent="0.25">
      <c r="B33" s="44">
        <f t="shared" si="11"/>
        <v>8</v>
      </c>
      <c r="C33" s="10">
        <v>45807</v>
      </c>
      <c r="D33" s="44">
        <f t="shared" si="1"/>
        <v>30</v>
      </c>
      <c r="E33" s="11">
        <v>1845</v>
      </c>
      <c r="F33" s="47">
        <f t="shared" si="2"/>
        <v>167</v>
      </c>
      <c r="G33" s="47">
        <f t="shared" si="3"/>
        <v>167</v>
      </c>
      <c r="H33" s="48">
        <f t="shared" si="4"/>
        <v>5.5666666666666664</v>
      </c>
      <c r="I33" s="98">
        <f t="shared" si="12"/>
        <v>19.684931506849317</v>
      </c>
      <c r="J33" s="99"/>
      <c r="K33" s="49">
        <f t="shared" si="6"/>
        <v>24.882999999999999</v>
      </c>
      <c r="L33" s="49">
        <f t="shared" si="7"/>
        <v>44.56793150684932</v>
      </c>
      <c r="M33" s="50">
        <f t="shared" si="8"/>
        <v>379.71554794520551</v>
      </c>
      <c r="N33" s="43">
        <f t="shared" si="9"/>
        <v>379.71554794520551</v>
      </c>
      <c r="O33" s="31"/>
    </row>
    <row r="34" spans="2:15" ht="15" x14ac:dyDescent="0.25">
      <c r="B34" s="44">
        <f t="shared" si="11"/>
        <v>9</v>
      </c>
      <c r="C34" s="10">
        <v>45839</v>
      </c>
      <c r="D34" s="44">
        <f t="shared" si="1"/>
        <v>32</v>
      </c>
      <c r="E34" s="11">
        <v>2017</v>
      </c>
      <c r="F34" s="47">
        <f t="shared" si="2"/>
        <v>172</v>
      </c>
      <c r="G34" s="47">
        <f t="shared" si="3"/>
        <v>172</v>
      </c>
      <c r="H34" s="48">
        <f t="shared" si="4"/>
        <v>5.375</v>
      </c>
      <c r="I34" s="98">
        <f t="shared" ref="I34:I39" si="13">IF(E34="","",$D$16*D34)</f>
        <v>20.997260273972604</v>
      </c>
      <c r="J34" s="99"/>
      <c r="K34" s="49">
        <f t="shared" si="6"/>
        <v>25.628</v>
      </c>
      <c r="L34" s="49">
        <f t="shared" si="7"/>
        <v>46.6252602739726</v>
      </c>
      <c r="M34" s="50">
        <f t="shared" si="8"/>
        <v>426.34080821917814</v>
      </c>
      <c r="N34" s="43">
        <f t="shared" si="9"/>
        <v>426.34080821917814</v>
      </c>
      <c r="O34" s="31"/>
    </row>
    <row r="35" spans="2:15" ht="15" x14ac:dyDescent="0.25">
      <c r="B35" s="44">
        <f t="shared" si="11"/>
        <v>10</v>
      </c>
      <c r="C35" s="10">
        <v>45868</v>
      </c>
      <c r="D35" s="44">
        <f t="shared" si="1"/>
        <v>29</v>
      </c>
      <c r="E35" s="11">
        <v>2196</v>
      </c>
      <c r="F35" s="47">
        <f t="shared" si="2"/>
        <v>179</v>
      </c>
      <c r="G35" s="47">
        <f t="shared" si="3"/>
        <v>179</v>
      </c>
      <c r="H35" s="48">
        <f t="shared" si="4"/>
        <v>6.1724137931034484</v>
      </c>
      <c r="I35" s="98">
        <f t="shared" si="13"/>
        <v>19.028767123287672</v>
      </c>
      <c r="J35" s="99"/>
      <c r="K35" s="49">
        <f t="shared" si="6"/>
        <v>26.670999999999999</v>
      </c>
      <c r="L35" s="49">
        <f t="shared" si="7"/>
        <v>45.699767123287671</v>
      </c>
      <c r="M35" s="50">
        <f t="shared" si="8"/>
        <v>472.04057534246579</v>
      </c>
      <c r="N35" s="43">
        <f t="shared" si="9"/>
        <v>472.04057534246579</v>
      </c>
      <c r="O35" s="31"/>
    </row>
    <row r="36" spans="2:15" ht="15" x14ac:dyDescent="0.25">
      <c r="B36" s="44">
        <f t="shared" si="11"/>
        <v>11</v>
      </c>
      <c r="C36" s="10">
        <v>45900</v>
      </c>
      <c r="D36" s="44">
        <f t="shared" si="1"/>
        <v>32</v>
      </c>
      <c r="E36" s="11">
        <v>2370</v>
      </c>
      <c r="F36" s="47">
        <f t="shared" si="2"/>
        <v>174</v>
      </c>
      <c r="G36" s="47">
        <f t="shared" si="3"/>
        <v>174</v>
      </c>
      <c r="H36" s="48">
        <f t="shared" si="4"/>
        <v>5.4375</v>
      </c>
      <c r="I36" s="98">
        <f t="shared" si="13"/>
        <v>20.997260273972604</v>
      </c>
      <c r="J36" s="99"/>
      <c r="K36" s="49">
        <f t="shared" si="6"/>
        <v>25.925999999999998</v>
      </c>
      <c r="L36" s="49">
        <f t="shared" si="7"/>
        <v>46.923260273972602</v>
      </c>
      <c r="M36" s="50">
        <f t="shared" si="8"/>
        <v>518.96383561643836</v>
      </c>
      <c r="N36" s="43">
        <f t="shared" si="9"/>
        <v>518.96383561643836</v>
      </c>
      <c r="O36" s="31"/>
    </row>
    <row r="37" spans="2:15" ht="15" x14ac:dyDescent="0.25">
      <c r="B37" s="44">
        <f t="shared" si="11"/>
        <v>12</v>
      </c>
      <c r="C37" s="10"/>
      <c r="D37" s="44" t="str">
        <f t="shared" si="1"/>
        <v/>
      </c>
      <c r="E37" s="11"/>
      <c r="F37" s="47" t="str">
        <f t="shared" si="2"/>
        <v/>
      </c>
      <c r="G37" s="47" t="e">
        <f t="shared" si="3"/>
        <v>#N/A</v>
      </c>
      <c r="H37" s="48" t="str">
        <f t="shared" si="4"/>
        <v/>
      </c>
      <c r="I37" s="98" t="str">
        <f t="shared" si="13"/>
        <v/>
      </c>
      <c r="J37" s="99"/>
      <c r="K37" s="49" t="str">
        <f t="shared" si="6"/>
        <v/>
      </c>
      <c r="L37" s="49" t="str">
        <f t="shared" ref="L37:L49" si="14">IF(E37="","",J37+K37)</f>
        <v/>
      </c>
      <c r="M37" s="50" t="str">
        <f t="shared" si="8"/>
        <v/>
      </c>
      <c r="N37" s="43" t="e">
        <f t="shared" si="9"/>
        <v>#N/A</v>
      </c>
    </row>
    <row r="38" spans="2:15" ht="15" x14ac:dyDescent="0.25">
      <c r="B38" s="44">
        <f t="shared" si="11"/>
        <v>13</v>
      </c>
      <c r="C38" s="10"/>
      <c r="D38" s="44" t="str">
        <f t="shared" si="1"/>
        <v/>
      </c>
      <c r="E38" s="11"/>
      <c r="F38" s="47" t="str">
        <f t="shared" si="2"/>
        <v/>
      </c>
      <c r="G38" s="47" t="e">
        <f t="shared" si="3"/>
        <v>#N/A</v>
      </c>
      <c r="H38" s="48" t="str">
        <f t="shared" si="4"/>
        <v/>
      </c>
      <c r="I38" s="98" t="str">
        <f t="shared" si="13"/>
        <v/>
      </c>
      <c r="J38" s="99"/>
      <c r="K38" s="49" t="str">
        <f t="shared" si="6"/>
        <v/>
      </c>
      <c r="L38" s="49" t="str">
        <f t="shared" si="14"/>
        <v/>
      </c>
      <c r="M38" s="50" t="str">
        <f t="shared" si="8"/>
        <v/>
      </c>
      <c r="N38" s="43" t="e">
        <f t="shared" si="9"/>
        <v>#N/A</v>
      </c>
    </row>
    <row r="39" spans="2:15" ht="15" x14ac:dyDescent="0.25">
      <c r="B39" s="44">
        <f t="shared" si="11"/>
        <v>14</v>
      </c>
      <c r="C39" s="10"/>
      <c r="D39" s="44" t="str">
        <f t="shared" si="1"/>
        <v/>
      </c>
      <c r="E39" s="11"/>
      <c r="F39" s="47" t="str">
        <f t="shared" si="2"/>
        <v/>
      </c>
      <c r="G39" s="47" t="e">
        <f t="shared" si="3"/>
        <v>#N/A</v>
      </c>
      <c r="H39" s="48" t="str">
        <f t="shared" si="4"/>
        <v/>
      </c>
      <c r="I39" s="98" t="str">
        <f t="shared" si="13"/>
        <v/>
      </c>
      <c r="J39" s="99"/>
      <c r="K39" s="49" t="str">
        <f t="shared" si="6"/>
        <v/>
      </c>
      <c r="L39" s="49" t="str">
        <f t="shared" si="14"/>
        <v/>
      </c>
      <c r="M39" s="50" t="str">
        <f t="shared" si="8"/>
        <v/>
      </c>
      <c r="N39" s="43" t="e">
        <f t="shared" si="9"/>
        <v>#N/A</v>
      </c>
    </row>
    <row r="40" spans="2:15" ht="15" x14ac:dyDescent="0.25">
      <c r="B40" s="44">
        <f t="shared" si="11"/>
        <v>15</v>
      </c>
      <c r="C40" s="10"/>
      <c r="D40" s="44" t="str">
        <f t="shared" si="1"/>
        <v/>
      </c>
      <c r="E40" s="11"/>
      <c r="F40" s="47" t="str">
        <f t="shared" si="2"/>
        <v/>
      </c>
      <c r="G40" s="47" t="e">
        <f t="shared" si="3"/>
        <v>#N/A</v>
      </c>
      <c r="H40" s="48" t="str">
        <f t="shared" si="4"/>
        <v/>
      </c>
      <c r="I40" s="98" t="str">
        <f t="shared" ref="I40:I49" si="15">IF(E40="","",$D$16*D40)</f>
        <v/>
      </c>
      <c r="J40" s="99"/>
      <c r="K40" s="49" t="str">
        <f t="shared" si="6"/>
        <v/>
      </c>
      <c r="L40" s="49" t="str">
        <f t="shared" si="14"/>
        <v/>
      </c>
      <c r="M40" s="50" t="str">
        <f t="shared" si="8"/>
        <v/>
      </c>
      <c r="N40" s="43" t="e">
        <f t="shared" si="9"/>
        <v>#N/A</v>
      </c>
    </row>
    <row r="41" spans="2:15" ht="15" x14ac:dyDescent="0.25">
      <c r="B41" s="44">
        <f t="shared" si="11"/>
        <v>16</v>
      </c>
      <c r="C41" s="10"/>
      <c r="D41" s="44" t="str">
        <f t="shared" si="1"/>
        <v/>
      </c>
      <c r="E41" s="11"/>
      <c r="F41" s="47" t="str">
        <f t="shared" si="2"/>
        <v/>
      </c>
      <c r="G41" s="47" t="e">
        <f t="shared" si="3"/>
        <v>#N/A</v>
      </c>
      <c r="H41" s="48" t="str">
        <f t="shared" si="4"/>
        <v/>
      </c>
      <c r="I41" s="98" t="str">
        <f t="shared" si="15"/>
        <v/>
      </c>
      <c r="J41" s="99"/>
      <c r="K41" s="49" t="str">
        <f t="shared" si="6"/>
        <v/>
      </c>
      <c r="L41" s="49" t="str">
        <f t="shared" si="14"/>
        <v/>
      </c>
      <c r="M41" s="50" t="str">
        <f t="shared" si="8"/>
        <v/>
      </c>
      <c r="N41" s="43" t="e">
        <f t="shared" si="9"/>
        <v>#N/A</v>
      </c>
    </row>
    <row r="42" spans="2:15" ht="15" x14ac:dyDescent="0.25">
      <c r="B42" s="44">
        <f t="shared" si="11"/>
        <v>17</v>
      </c>
      <c r="C42" s="10"/>
      <c r="D42" s="44" t="str">
        <f t="shared" si="1"/>
        <v/>
      </c>
      <c r="E42" s="11"/>
      <c r="F42" s="47" t="str">
        <f t="shared" si="2"/>
        <v/>
      </c>
      <c r="G42" s="47" t="e">
        <f t="shared" si="3"/>
        <v>#N/A</v>
      </c>
      <c r="H42" s="48" t="str">
        <f t="shared" si="4"/>
        <v/>
      </c>
      <c r="I42" s="98" t="str">
        <f t="shared" si="15"/>
        <v/>
      </c>
      <c r="J42" s="99"/>
      <c r="K42" s="49" t="str">
        <f t="shared" si="6"/>
        <v/>
      </c>
      <c r="L42" s="49" t="str">
        <f t="shared" si="14"/>
        <v/>
      </c>
      <c r="M42" s="50" t="str">
        <f t="shared" si="8"/>
        <v/>
      </c>
      <c r="N42" s="43" t="e">
        <f t="shared" si="9"/>
        <v>#N/A</v>
      </c>
    </row>
    <row r="43" spans="2:15" ht="15" x14ac:dyDescent="0.25">
      <c r="B43" s="44">
        <f t="shared" si="11"/>
        <v>18</v>
      </c>
      <c r="C43" s="10"/>
      <c r="D43" s="44" t="str">
        <f t="shared" si="1"/>
        <v/>
      </c>
      <c r="E43" s="11"/>
      <c r="F43" s="47" t="str">
        <f t="shared" si="2"/>
        <v/>
      </c>
      <c r="G43" s="47" t="e">
        <f t="shared" si="3"/>
        <v>#N/A</v>
      </c>
      <c r="H43" s="48" t="str">
        <f t="shared" si="4"/>
        <v/>
      </c>
      <c r="I43" s="98" t="str">
        <f t="shared" si="15"/>
        <v/>
      </c>
      <c r="J43" s="99"/>
      <c r="K43" s="49" t="str">
        <f t="shared" si="6"/>
        <v/>
      </c>
      <c r="L43" s="49" t="str">
        <f t="shared" si="14"/>
        <v/>
      </c>
      <c r="M43" s="50" t="str">
        <f t="shared" si="8"/>
        <v/>
      </c>
      <c r="N43" s="43" t="e">
        <f t="shared" si="9"/>
        <v>#N/A</v>
      </c>
    </row>
    <row r="44" spans="2:15" ht="15" x14ac:dyDescent="0.25">
      <c r="B44" s="44">
        <f t="shared" si="11"/>
        <v>19</v>
      </c>
      <c r="C44" s="10"/>
      <c r="D44" s="44" t="str">
        <f t="shared" si="1"/>
        <v/>
      </c>
      <c r="E44" s="11"/>
      <c r="F44" s="47" t="str">
        <f t="shared" si="2"/>
        <v/>
      </c>
      <c r="G44" s="47" t="e">
        <f t="shared" si="3"/>
        <v>#N/A</v>
      </c>
      <c r="H44" s="48" t="str">
        <f t="shared" si="4"/>
        <v/>
      </c>
      <c r="I44" s="98" t="str">
        <f t="shared" si="15"/>
        <v/>
      </c>
      <c r="J44" s="99"/>
      <c r="K44" s="49" t="str">
        <f t="shared" si="6"/>
        <v/>
      </c>
      <c r="L44" s="49" t="str">
        <f t="shared" si="14"/>
        <v/>
      </c>
      <c r="M44" s="50" t="str">
        <f t="shared" si="8"/>
        <v/>
      </c>
      <c r="N44" s="43" t="e">
        <f t="shared" si="9"/>
        <v>#N/A</v>
      </c>
    </row>
    <row r="45" spans="2:15" ht="15" x14ac:dyDescent="0.25">
      <c r="B45" s="44">
        <f t="shared" si="11"/>
        <v>20</v>
      </c>
      <c r="C45" s="10"/>
      <c r="D45" s="44" t="str">
        <f t="shared" si="1"/>
        <v/>
      </c>
      <c r="E45" s="11"/>
      <c r="F45" s="47" t="str">
        <f t="shared" si="2"/>
        <v/>
      </c>
      <c r="G45" s="47" t="e">
        <f t="shared" si="3"/>
        <v>#N/A</v>
      </c>
      <c r="H45" s="48" t="str">
        <f t="shared" si="4"/>
        <v/>
      </c>
      <c r="I45" s="98" t="str">
        <f t="shared" si="15"/>
        <v/>
      </c>
      <c r="J45" s="99"/>
      <c r="K45" s="49" t="str">
        <f t="shared" si="6"/>
        <v/>
      </c>
      <c r="L45" s="49" t="str">
        <f t="shared" si="14"/>
        <v/>
      </c>
      <c r="M45" s="50" t="str">
        <f t="shared" si="8"/>
        <v/>
      </c>
      <c r="N45" s="43" t="e">
        <f t="shared" si="9"/>
        <v>#N/A</v>
      </c>
    </row>
    <row r="46" spans="2:15" ht="15" x14ac:dyDescent="0.25">
      <c r="B46" s="44">
        <f t="shared" si="11"/>
        <v>21</v>
      </c>
      <c r="C46" s="10"/>
      <c r="D46" s="44" t="str">
        <f t="shared" si="1"/>
        <v/>
      </c>
      <c r="E46" s="11"/>
      <c r="F46" s="47" t="str">
        <f t="shared" si="2"/>
        <v/>
      </c>
      <c r="G46" s="47" t="e">
        <f t="shared" si="3"/>
        <v>#N/A</v>
      </c>
      <c r="H46" s="48" t="str">
        <f t="shared" si="4"/>
        <v/>
      </c>
      <c r="I46" s="98" t="str">
        <f t="shared" si="15"/>
        <v/>
      </c>
      <c r="J46" s="99"/>
      <c r="K46" s="49" t="str">
        <f t="shared" si="6"/>
        <v/>
      </c>
      <c r="L46" s="49" t="str">
        <f t="shared" si="14"/>
        <v/>
      </c>
      <c r="M46" s="50" t="str">
        <f t="shared" si="8"/>
        <v/>
      </c>
      <c r="N46" s="43" t="e">
        <f t="shared" si="9"/>
        <v>#N/A</v>
      </c>
    </row>
    <row r="47" spans="2:15" ht="15" x14ac:dyDescent="0.25">
      <c r="B47" s="44">
        <f t="shared" si="11"/>
        <v>22</v>
      </c>
      <c r="C47" s="10"/>
      <c r="D47" s="44" t="str">
        <f t="shared" si="1"/>
        <v/>
      </c>
      <c r="E47" s="11"/>
      <c r="F47" s="47" t="str">
        <f t="shared" si="2"/>
        <v/>
      </c>
      <c r="G47" s="47" t="e">
        <f t="shared" si="3"/>
        <v>#N/A</v>
      </c>
      <c r="H47" s="48" t="str">
        <f t="shared" si="4"/>
        <v/>
      </c>
      <c r="I47" s="98" t="str">
        <f t="shared" si="15"/>
        <v/>
      </c>
      <c r="J47" s="99"/>
      <c r="K47" s="49" t="str">
        <f t="shared" si="6"/>
        <v/>
      </c>
      <c r="L47" s="49" t="str">
        <f t="shared" si="14"/>
        <v/>
      </c>
      <c r="M47" s="50" t="str">
        <f t="shared" si="8"/>
        <v/>
      </c>
      <c r="N47" s="43" t="e">
        <f t="shared" si="9"/>
        <v>#N/A</v>
      </c>
    </row>
    <row r="48" spans="2:15" ht="15" x14ac:dyDescent="0.25">
      <c r="B48" s="44">
        <f t="shared" si="11"/>
        <v>23</v>
      </c>
      <c r="C48" s="10"/>
      <c r="D48" s="44" t="str">
        <f t="shared" si="1"/>
        <v/>
      </c>
      <c r="E48" s="11"/>
      <c r="F48" s="47" t="str">
        <f t="shared" si="2"/>
        <v/>
      </c>
      <c r="G48" s="47" t="e">
        <f t="shared" si="3"/>
        <v>#N/A</v>
      </c>
      <c r="H48" s="48" t="str">
        <f t="shared" si="4"/>
        <v/>
      </c>
      <c r="I48" s="98" t="str">
        <f t="shared" si="15"/>
        <v/>
      </c>
      <c r="J48" s="99"/>
      <c r="K48" s="49" t="str">
        <f t="shared" si="6"/>
        <v/>
      </c>
      <c r="L48" s="49" t="str">
        <f t="shared" si="14"/>
        <v/>
      </c>
      <c r="M48" s="50" t="str">
        <f t="shared" si="8"/>
        <v/>
      </c>
      <c r="N48" s="43" t="e">
        <f t="shared" si="9"/>
        <v>#N/A</v>
      </c>
    </row>
    <row r="49" spans="2:15" ht="15" x14ac:dyDescent="0.25">
      <c r="B49" s="44">
        <f t="shared" si="11"/>
        <v>24</v>
      </c>
      <c r="C49" s="10"/>
      <c r="D49" s="44" t="str">
        <f t="shared" si="1"/>
        <v/>
      </c>
      <c r="E49" s="11"/>
      <c r="F49" s="47" t="str">
        <f t="shared" si="2"/>
        <v/>
      </c>
      <c r="G49" s="47" t="e">
        <f t="shared" si="3"/>
        <v>#N/A</v>
      </c>
      <c r="H49" s="48" t="str">
        <f t="shared" si="4"/>
        <v/>
      </c>
      <c r="I49" s="98" t="str">
        <f t="shared" si="15"/>
        <v/>
      </c>
      <c r="J49" s="99"/>
      <c r="K49" s="49" t="str">
        <f t="shared" si="6"/>
        <v/>
      </c>
      <c r="L49" s="49" t="str">
        <f t="shared" si="14"/>
        <v/>
      </c>
      <c r="M49" s="50" t="str">
        <f t="shared" si="8"/>
        <v/>
      </c>
      <c r="N49" s="43" t="e">
        <f t="shared" si="9"/>
        <v>#N/A</v>
      </c>
      <c r="O49" s="72" t="s">
        <v>69</v>
      </c>
    </row>
    <row r="50" spans="2:15" ht="3.75" customHeight="1" x14ac:dyDescent="0.2">
      <c r="B50" s="71"/>
      <c r="C50" s="71"/>
      <c r="D50" s="71"/>
      <c r="E50" s="71"/>
      <c r="F50" s="71"/>
      <c r="G50" s="71"/>
      <c r="H50" s="71"/>
      <c r="I50" s="71"/>
      <c r="J50" s="71"/>
      <c r="K50" s="71"/>
      <c r="L50" s="71"/>
      <c r="M50" s="71"/>
    </row>
  </sheetData>
  <sheetProtection password="E8F3" sheet="1" selectLockedCells="1"/>
  <mergeCells count="30">
    <mergeCell ref="I46:J46"/>
    <mergeCell ref="I47:J47"/>
    <mergeCell ref="I48:J48"/>
    <mergeCell ref="I49:J49"/>
    <mergeCell ref="J23:M23"/>
    <mergeCell ref="I43:J43"/>
    <mergeCell ref="I44:J44"/>
    <mergeCell ref="I45:J45"/>
    <mergeCell ref="I33:J33"/>
    <mergeCell ref="I28:J28"/>
    <mergeCell ref="I29:J29"/>
    <mergeCell ref="I30:J30"/>
    <mergeCell ref="I31:J31"/>
    <mergeCell ref="I32:J32"/>
    <mergeCell ref="I40:J40"/>
    <mergeCell ref="I41:J41"/>
    <mergeCell ref="I42:J42"/>
    <mergeCell ref="I34:J34"/>
    <mergeCell ref="I35:J35"/>
    <mergeCell ref="I36:J36"/>
    <mergeCell ref="I37:J37"/>
    <mergeCell ref="I38:J38"/>
    <mergeCell ref="I39:J39"/>
    <mergeCell ref="B4:C4"/>
    <mergeCell ref="E23:H23"/>
    <mergeCell ref="I24:J24"/>
    <mergeCell ref="I26:J26"/>
    <mergeCell ref="I27:J27"/>
    <mergeCell ref="E6:I6"/>
    <mergeCell ref="J6:M6"/>
  </mergeCells>
  <hyperlinks>
    <hyperlink ref="O49" location="'Analyse indiv'!A23" display="oben "/>
  </hyperlinks>
  <pageMargins left="0.7" right="0.7" top="0.78740157499999996" bottom="0.78740157499999996"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Analyse 12 Monate</vt:lpstr>
      <vt:lpstr>Analyse indiv</vt:lpstr>
    </vt:vector>
  </TitlesOfParts>
  <Manager>Joachim Becker</Manager>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Stromverbrauchsanalyse 12 Monate und individuell</dc:title>
  <dc:subject>Stromverbrauchsanalyse</dc:subject>
  <dc:creator>ControllerSpielwiese</dc:creator>
  <cp:keywords>Stromverbrauchsanalyse Analyse monatlich Verbrauch Stromkostenanalyse</cp:keywords>
  <dc:description>Copyright by Joachim Becker WebSolutions
https://www.controllerspielwiese.de</dc:description>
  <cp:lastModifiedBy>ControllerSpielwiese</cp:lastModifiedBy>
  <dcterms:created xsi:type="dcterms:W3CDTF">2025-03-05T19:06:20Z</dcterms:created>
  <dcterms:modified xsi:type="dcterms:W3CDTF">2025-09-05T15:00:06Z</dcterms:modified>
  <cp:category>Finanzen Controlling Stromverbrauchsanalyse</cp:category>
</cp:coreProperties>
</file>